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24226"/>
  <mc:AlternateContent xmlns:mc="http://schemas.openxmlformats.org/markup-compatibility/2006">
    <mc:Choice Requires="x15">
      <x15ac:absPath xmlns:x15ac="http://schemas.microsoft.com/office/spreadsheetml/2010/11/ac" url="G:\Mi unidad\SNCHI CALIDAD\1. MIPG\Programa de transparencia y ética pública\2023\"/>
    </mc:Choice>
  </mc:AlternateContent>
  <xr:revisionPtr revIDLastSave="0" documentId="13_ncr:1_{047944BA-1208-4585-8A39-2CBEE865AA48}" xr6:coauthVersionLast="47" xr6:coauthVersionMax="47" xr10:uidLastSave="{00000000-0000-0000-0000-000000000000}"/>
  <bookViews>
    <workbookView xWindow="-120" yWindow="-120" windowWidth="29040" windowHeight="1572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workbook>
</file>

<file path=xl/calcChain.xml><?xml version="1.0" encoding="utf-8"?>
<calcChain xmlns="http://schemas.openxmlformats.org/spreadsheetml/2006/main">
  <c r="T10" i="1" l="1"/>
  <c r="Q10" i="1"/>
  <c r="H10" i="1"/>
  <c r="I10" i="1" s="1"/>
  <c r="K21" i="1"/>
  <c r="K49" i="1"/>
  <c r="K68" i="1"/>
  <c r="K60" i="1"/>
  <c r="K35" i="1"/>
  <c r="K45" i="1"/>
  <c r="K43" i="1"/>
  <c r="K30" i="1"/>
  <c r="K65" i="1"/>
  <c r="K24" i="1"/>
  <c r="K32" i="1"/>
  <c r="K55" i="1"/>
  <c r="K26" i="1"/>
  <c r="K20" i="1"/>
  <c r="K61" i="1"/>
  <c r="K42" i="1"/>
  <c r="K27" i="1"/>
  <c r="K51" i="1"/>
  <c r="K50" i="1"/>
  <c r="K31" i="1"/>
  <c r="K29" i="1"/>
  <c r="K63" i="1"/>
  <c r="K48" i="1"/>
  <c r="K39" i="1"/>
  <c r="K38" i="1"/>
  <c r="K41" i="1"/>
  <c r="K67" i="1"/>
  <c r="K53" i="1"/>
  <c r="K54" i="1"/>
  <c r="K66" i="1"/>
  <c r="K37" i="1"/>
  <c r="K56" i="1"/>
  <c r="K19" i="1"/>
  <c r="K25" i="1"/>
  <c r="K57" i="1"/>
  <c r="K44" i="1"/>
  <c r="K69" i="1"/>
  <c r="K59" i="1"/>
  <c r="K18" i="1"/>
  <c r="K33" i="1"/>
  <c r="K36" i="1"/>
  <c r="K17" i="1"/>
  <c r="K47" i="1"/>
  <c r="K62" i="1"/>
  <c r="K23" i="1"/>
  <c r="F221" i="13" l="1"/>
  <c r="F211" i="13"/>
  <c r="F212" i="13"/>
  <c r="F213" i="13"/>
  <c r="F214" i="13"/>
  <c r="F215" i="13"/>
  <c r="F216" i="13"/>
  <c r="F217" i="13"/>
  <c r="F218" i="13"/>
  <c r="F219" i="13"/>
  <c r="F220" i="13"/>
  <c r="F210" i="13"/>
  <c r="B221" i="13" a="1"/>
  <c r="K14" i="1"/>
  <c r="K12" i="1"/>
  <c r="K11" i="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X32" i="1" s="1"/>
  <c r="Y32" i="1" s="1"/>
  <c r="Z18" i="1"/>
  <c r="X19" i="1" s="1"/>
  <c r="Y19" i="1" s="1"/>
  <c r="Q12" i="1"/>
  <c r="Z32" i="1" l="1"/>
  <c r="X33" i="1" s="1"/>
  <c r="Y33" i="1" s="1"/>
  <c r="Y37" i="1"/>
  <c r="Y63" i="1"/>
  <c r="Z63" i="1"/>
  <c r="Y62" i="1"/>
  <c r="Z62" i="1"/>
  <c r="Y57" i="1"/>
  <c r="Z57" i="1"/>
  <c r="X68" i="1"/>
  <c r="X69" i="1"/>
  <c r="Z44" i="1"/>
  <c r="X45" i="1" s="1"/>
  <c r="Y45" i="1" s="1"/>
  <c r="Z38" i="1"/>
  <c r="X39" i="1" s="1"/>
  <c r="Y38" i="1"/>
  <c r="Y26" i="1"/>
  <c r="Z26" i="1"/>
  <c r="X27" i="1" s="1"/>
  <c r="Y27" i="1" s="1"/>
  <c r="Z19" i="1"/>
  <c r="X20" i="1" s="1"/>
  <c r="Z20" i="1" s="1"/>
  <c r="X21" i="1" s="1"/>
  <c r="X10" i="1"/>
  <c r="Y10" i="1" s="1"/>
  <c r="Z33" i="1" l="1"/>
  <c r="Y69" i="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8" i="1" l="1"/>
  <c r="AA28" i="1" s="1"/>
  <c r="AA64" i="1"/>
  <c r="AB66" i="1"/>
  <c r="AB59" i="1"/>
  <c r="AB58" i="1"/>
  <c r="AB41" i="1"/>
  <c r="AB40" i="1"/>
  <c r="AA40" i="1" s="1"/>
  <c r="AB53" i="1"/>
  <c r="AB52" i="1"/>
  <c r="AA52" i="1" s="1"/>
  <c r="AA10" i="1"/>
  <c r="AB11" i="1"/>
  <c r="AB17" i="1"/>
  <c r="AB16" i="1"/>
  <c r="AA16" i="1" s="1"/>
  <c r="AB22" i="1"/>
  <c r="AA22" i="1" s="1"/>
  <c r="AB47" i="1"/>
  <c r="AB46" i="1"/>
  <c r="AA46" i="1" s="1"/>
  <c r="AB34" i="1"/>
  <c r="AA34" i="1" s="1"/>
  <c r="AB35" i="1" l="1"/>
  <c r="AB36" i="1" s="1"/>
  <c r="AB29" i="1"/>
  <c r="AB30" i="1" s="1"/>
  <c r="AB23" i="1"/>
  <c r="AA23" i="1" s="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35" i="1" l="1"/>
  <c r="W20" i="19" s="1"/>
  <c r="AA29" i="1"/>
  <c r="AI49" i="19" s="1"/>
  <c r="AB24" i="1"/>
  <c r="AB25" i="1" s="1"/>
  <c r="W37" i="19"/>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K20" i="19" l="1"/>
  <c r="AC10" i="19"/>
  <c r="Q50" i="19"/>
  <c r="K40" i="19"/>
  <c r="W40" i="19"/>
  <c r="W50" i="19"/>
  <c r="AI40" i="19"/>
  <c r="Q30" i="19"/>
  <c r="AI20" i="19"/>
  <c r="AC50" i="19"/>
  <c r="Q20" i="19"/>
  <c r="AI50" i="19"/>
  <c r="W10" i="19"/>
  <c r="Q10" i="19"/>
  <c r="W30" i="19"/>
  <c r="K30" i="19"/>
  <c r="AC40" i="19"/>
  <c r="AC30" i="19"/>
  <c r="Q40" i="19"/>
  <c r="AI30" i="19"/>
  <c r="K10" i="19"/>
  <c r="K50" i="19"/>
  <c r="AC20" i="19"/>
  <c r="AC35" i="1"/>
  <c r="AI10" i="19"/>
  <c r="Q19" i="19"/>
  <c r="W29" i="19"/>
  <c r="K9" i="19"/>
  <c r="AC29" i="1"/>
  <c r="AC39" i="19"/>
  <c r="AI29" i="19"/>
  <c r="Q9" i="19"/>
  <c r="Q39" i="19"/>
  <c r="K39" i="19"/>
  <c r="W39" i="19"/>
  <c r="Q29" i="19"/>
  <c r="AI9" i="19"/>
  <c r="K19" i="19"/>
  <c r="AI19" i="19"/>
  <c r="W49" i="19"/>
  <c r="Q49" i="19"/>
  <c r="K49" i="19"/>
  <c r="K29" i="19"/>
  <c r="AC19" i="19"/>
  <c r="AC49" i="19"/>
  <c r="AI39" i="19"/>
  <c r="W9" i="19"/>
  <c r="AC29" i="19"/>
  <c r="AC9" i="19"/>
  <c r="W19" i="19"/>
  <c r="AA24" i="1"/>
  <c r="L38" i="19" s="1"/>
  <c r="AB14" i="1"/>
  <c r="AA14" i="1" s="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L28" i="19" l="1"/>
  <c r="AJ38" i="19"/>
  <c r="X48" i="19"/>
  <c r="AD48" i="19"/>
  <c r="AJ8" i="19"/>
  <c r="L8" i="19"/>
  <c r="X38" i="19"/>
  <c r="R48" i="19"/>
  <c r="X28" i="19"/>
  <c r="X8" i="19"/>
  <c r="L18" i="19"/>
  <c r="R28" i="19"/>
  <c r="AD28" i="19"/>
  <c r="X18" i="19"/>
  <c r="AJ18" i="19"/>
  <c r="AJ28" i="19"/>
  <c r="AJ48" i="19"/>
  <c r="R18" i="19"/>
  <c r="L48" i="19"/>
  <c r="AD8" i="19"/>
  <c r="AD18" i="19"/>
  <c r="AD38" i="19"/>
  <c r="AC24" i="1"/>
  <c r="R38" i="19"/>
  <c r="R8" i="19"/>
  <c r="AA38" i="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<sst xmlns="http://schemas.openxmlformats.org/spreadsheetml/2006/main" count="614" uniqueCount="326">
  <si>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</si>
  <si>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</si>
  <si>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</si>
  <si>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</si>
  <si>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</si>
  <si>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</si>
  <si>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</si>
  <si>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</si>
  <si>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</si>
  <si>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</si>
  <si>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</si>
  <si>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</si>
  <si>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</si>
  <si>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</si>
  <si>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</si>
  <si>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</si>
  <si>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</si>
  <si>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</si>
  <si>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</si>
  <si>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</si>
  <si>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</si>
  <si>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</si>
  <si>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</si>
  <si>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</si>
  <si>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</si>
  <si>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</si>
  <si>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</si>
  <si>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</si>
  <si>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</si>
  <si>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</si>
  <si>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</si>
  <si>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</si>
  <si>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</si>
  <si>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</si>
  <si>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</si>
  <si>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</si>
  <si>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</si>
  <si>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</si>
  <si>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</si>
  <si>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</si>
  <si>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</si>
  <si>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</si>
  <si>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</si>
  <si>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</si>
  <si>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</si>
  <si>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</si>
  <si>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</si>
  <si>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</si>
  <si>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</si>
  <si>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</si>
  <si>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</si>
  <si>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</si>
  <si>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</si>
  <si>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</si>
  <si>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</si>
  <si>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</si>
  <si>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</si>
  <si>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</si>
  <si>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</si>
  <si>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</si>
  <si>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</si>
  <si>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</si>
  <si>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</si>
  <si>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</si>
  <si>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</si>
  <si>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</si>
  <si>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</si>
  <si>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</si>
  <si>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</si>
  <si>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</si>
  <si>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</si>
  <si>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</si>
  <si>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</si>
  <si>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</si>
  <si>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</si>
  <si>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</si>
  <si>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</si>
  <si>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</si>
  <si>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</si>
  <si>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</si>
  <si>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</si>
  <si>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</si>
  <si>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</si>
  <si>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</si>
  <si>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</si>
  <si>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</si>
  <si>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</si>
  <si>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</si>
  <si>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</si>
  <si>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</si>
  <si>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</si>
  <si>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</si>
  <si>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</si>
  <si>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</si>
  <si>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</si>
  <si>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</si>
  <si>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</si>
  <si>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</si>
  <si>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</si>
  <si>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</si>
  <si>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</si>
  <si>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</si>
  <si>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</si>
  <si>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</si>
  <si>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</si>
  <si>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</si>
  <si>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</si>
  <si>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</si>
  <si>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</si>
  <si>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</si>
  <si>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</si>
  <si>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</si>
  <si>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</si>
  <si>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</si>
  <si>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</si>
  <si>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</si>
  <si>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</si>
  <si>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</si>
  <si>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</si>
  <si>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</si>
  <si>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</si>
  <si>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</si>
  <si>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</si>
  <si>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</si>
  <si>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</si>
  <si>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</si>
  <si>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</si>
  <si>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</si>
  <si>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</si>
  <si>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</si>
  <si>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</si>
  <si>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</si>
  <si>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</si>
  <si>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</si>
  <si>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</si>
  <si>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</si>
  <si>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</si>
  <si>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</si>
  <si>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</si>
  <si>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</si>
  <si>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</si>
  <si>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</si>
  <si>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</si>
  <si>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</si>
  <si>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</si>
  <si>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</si>
  <si>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</si>
  <si>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</si>
  <si>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</si>
  <si>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</si>
  <si>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</si>
  <si>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</si>
  <si>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</si>
  <si>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</si>
  <si>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</si>
  <si>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</si>
  <si>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</si>
  <si>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</si>
  <si>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</si>
  <si>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</si>
  <si>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</si>
  <si>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</si>
  <si>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</si>
  <si>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</si>
  <si>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</si>
  <si>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</si>
  <si>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</si>
  <si>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</si>
  <si>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</si>
  <si>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</si>
  <si>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</si>
  <si>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</si>
  <si>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</si>
  <si>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</si>
  <si>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</si>
  <si>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</si>
  <si>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</si>
  <si>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</si>
  <si>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</si>
  <si>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</si>
  <si>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</si>
  <si>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</si>
  <si>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</si>
  <si>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</si>
  <si>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</si>
  <si>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</si>
  <si>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</si>
  <si>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</si>
  <si>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</si>
  <si>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</si>
  <si>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</si>
  <si>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</si>
  <si>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</si>
  <si>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</si>
  <si>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</si>
  <si>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</si>
  <si>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</si>
  <si>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</si>
  <si>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</si>
  <si>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</si>
  <si>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</si>
  <si>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</si>
  <si>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</si>
  <si>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</si>
  <si>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</si>
  <si>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</si>
  <si>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</si>
  <si>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</si>
  <si>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</si>
  <si>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</si>
  <si>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</si>
  <si>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</si>
  <si>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</si>
  <si>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</si>
  <si>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Estrategico, misionales, operativos, de apoyo y mejora</t>
  </si>
  <si>
    <t>Facilitar la identificación, evaluación y control de los riesgos de corrupción relacionados con el Instituto Sinchi</t>
  </si>
  <si>
    <t>Aplica para todos los procesos</t>
  </si>
  <si>
    <t>La ejecución de actos mal intencionados,  los pocos controles de revisión y seguimiento al ejercicio de las funciones y responsabilidad de los trabajadores encargados de la toma de decisiones, puede conllevar al abuso  de la autoridad,   haciendo uso particular  de los recursos financieros del Instituto con el fin de obtener un beneficio privado.</t>
  </si>
  <si>
    <t>Intereses particulares en la toma de deciciones</t>
  </si>
  <si>
    <t>Posibilidad de que por acción u omisión, se obtenga un beneficio personal para favorecer un tercero, al incumplir los procedimientos institucionales</t>
  </si>
  <si>
    <t>El Jefe de la Unidad Juridica convocará el comité de contratación para revisar con las partes interesadas los requisitos previos de selección  y evaluación de contratos de la entidad.</t>
  </si>
  <si>
    <t>Cada lider de proceso debera contar con procedimientos definidos y establecidos por el Instituto, implementando mecanismos de revisión y seguimiento al cumplimiento de actividades establecidas.</t>
  </si>
  <si>
    <t xml:space="preserve">La Jefe Asesora de la Oficina de Evaluación Interna, programará auditorias internas para la revisión y evaluación de las actividades ejecutadas al interior de los procesos . </t>
  </si>
  <si>
    <t xml:space="preserve">La alta dirección realizará la delegación de responsabilidades a jefes de unidades para el cumplimiento, seguimiento y control de los requisitos internos y legales. </t>
  </si>
  <si>
    <t>Documentar actas de comité de contratación para dejar trazabilidad de selección y evaluación de contrataciones solicitadas</t>
  </si>
  <si>
    <t xml:space="preserve">La Entidad cuenta con el sistema de gestión de calidad, que asume el apoyo y seguimiento al cumplimiento de las actividades definidas para cada uno de los procesos. </t>
  </si>
  <si>
    <t xml:space="preserve"> La Oficina Asesora de Evaluación Interna reporta permanentemente a la Dirección General el estado de Auditorias Internas para  el seguimiento de detecciones de mejora y observaciones que se puedan generar del ejercicio.</t>
  </si>
  <si>
    <t>Jefe Unidad de Apoyo Juridico
Integrantes comité
Solicitante de contratación</t>
  </si>
  <si>
    <t>Dirección General
Lideres de proceso</t>
  </si>
  <si>
    <t>Jefe Asesora de 
Evaluación interna</t>
  </si>
  <si>
    <t>Lideres de 
proceso</t>
  </si>
  <si>
    <t>Subdirección 
administrtaiva
 y Financiera</t>
  </si>
  <si>
    <t>Anual</t>
  </si>
  <si>
    <t>Afectar, sustraer  los  reportes internos o resultados de gestión para ocultar o afectar la información generada por el Instituto.</t>
  </si>
  <si>
    <t>Ausencia de controles de seguridad informática
Fallas tecnológicas
Ausencia de sistemas de información que puedan facilitar acceso y posible manipulación o alteración
Ocultar información considerada pública para los usuarios
Ausencia o debilidad de canales de comunicación
Ausencia o debilidad de medidas o políticas de conflictos de interés</t>
  </si>
  <si>
    <t>Posibilidad de que por acción u omisión se presenten daños o sustracción de la información del instituto, para ocultar o afectar la información del instituto o por ausencia de controles de seguridad informática</t>
  </si>
  <si>
    <t>Los lideres de proceso deberan cumplir con las periodicidades de los  back ups y los controles de seguridad de la información.</t>
  </si>
  <si>
    <t xml:space="preserve"> La Subdirección administrativa y financiera  deberá Implementar y hacer seguimiento a las actividades del sistema de gestión de seguridad de la Información.</t>
  </si>
  <si>
    <t>En cada sede se deberá garantizar el funcionamiento de las cámaras de seguridad de vigilancia  para la supervisión de ingreso y salida de documentación en las sedes.</t>
  </si>
  <si>
    <t xml:space="preserve">Respaldo de la información  mediante back up, información en nube y servidores </t>
  </si>
  <si>
    <t>Coordinadores de programa/ proyectos
Lideres de proceso
Jefe Unidad Apoyo Informatica</t>
  </si>
  <si>
    <t>De acuerdo a lo definido por cada proceso</t>
  </si>
  <si>
    <t>Coordinadores de programa/ proyectos
Lideres de proceso
Jefe Unidad Apoyo Informatica
Subdirección administrativa y financiera</t>
  </si>
  <si>
    <t>Permanente</t>
  </si>
  <si>
    <t>El Instituto cuenta con la subcontratación de un centro de correspondencia  para la administración  y manejo del archivo del Instituto.</t>
  </si>
  <si>
    <t xml:space="preserve">Subdirección administrtaiva y financiera
</t>
  </si>
  <si>
    <t>Se realizó contratación de  servicio de consultoría, capacitación y apoyo en el levantamiento de TRD y TVD para asegurar el debido levantamiento de inventarios de archivos institucionales</t>
  </si>
  <si>
    <t>Subdirección administrtaiva y financiera</t>
  </si>
  <si>
    <t>Circuito Cerrado de Televisión en las sedes Bogotá, Leticia, San José</t>
  </si>
  <si>
    <t>Realizar pagos en efectivo al personal del Instituto que no cuenten con el debido soporte para su legalización</t>
  </si>
  <si>
    <t>Reconocer inclusión de gastos no realizados
Inexistencia de soportes contables
Afectación de rubros que no corresponde</t>
  </si>
  <si>
    <t>Posbilidad de apropiarce de manera indebida de recursos de la entidad, al efectuar pagos sin los soportes correspondientes o manejo de dinero en efectivo por limitacines bancarias en la región amazónica</t>
  </si>
  <si>
    <t xml:space="preserve">La Jefe Asesora de Planeación debera revisar y aprobar  las viabilidades técnicas para la ejecución presupuestal.
</t>
  </si>
  <si>
    <t>La Subdirección Administrativa y Financiera deberá gestionar los Procesos de revisoría fiscal al interior del Instituto.</t>
  </si>
  <si>
    <t>La Oficina Asesora de Evaluación Interna denerá entregar oportunamente informes de gestión a las entidades de control.</t>
  </si>
  <si>
    <t xml:space="preserve"> Resolución interna de legalización de gastos.</t>
  </si>
  <si>
    <t>Coordinadores de sede/programa/proyecto
Lideres de proceso
Jefe de Unidad de Apoyo Tesoreria</t>
  </si>
  <si>
    <t>Verificación de la disponibilidad presupuestal con base en el Plan Operativo Anual</t>
  </si>
  <si>
    <t>Subdirección Administrativa y Financiera
Unidad de Apoyo Financiera
Oficina Asesora de Planeación</t>
  </si>
  <si>
    <t>Diario</t>
  </si>
  <si>
    <t>Programación de auditorias de verificación</t>
  </si>
  <si>
    <t xml:space="preserve">Subdirección Administrativa y Financiera
Unidad de Apoyo Financiera
</t>
  </si>
  <si>
    <t xml:space="preserve">Dirección estrategica
Oficina Asesora de Evaluación Interna
</t>
  </si>
  <si>
    <t>Semestral</t>
  </si>
  <si>
    <t>Adjudicar contratos a cambio de favores, abusando de la autoridad del cargo para omitir el debido proceso, generando detrimento patrimonial</t>
  </si>
  <si>
    <t xml:space="preserve">Estudios previos deficientes
Términos de referencia hechos a la medida de un interesado
Cambio de condiciones que restringen la participación
Abuso de autoridad
Carencia de controles operativos
Desconocimiento de procedimientos
</t>
  </si>
  <si>
    <t xml:space="preserve">Posibilidad de adjudicar contratos a cambio de favores o beneficio propio o de un tercero, abusando de la autoridad del cargo, generando detrimento patrimonial </t>
  </si>
  <si>
    <t xml:space="preserve">Las convocatorias públicas y listas cortas deben ser puestas a consideración del comité de contratación, con el propósito de evaluar los requisitos financieros y técnicos por parte de los respectivos responsables. </t>
  </si>
  <si>
    <t>Las convocatorias públicas, la información de listas cortas y contrataciones directas se publican en la plataforma del SECOP como parte del proceso de garantía y transparencia, por parte de la Unidad  de Apoyo Juridica.</t>
  </si>
  <si>
    <t xml:space="preserve">La Jefe de Talento Humano deberá sensibilizar al personal del Instituto  en los valores éticos y morales institucionales. </t>
  </si>
  <si>
    <t xml:space="preserve"> Ejecución de comites de contratación
Publicación de convocatorias en página webhttps://sinchi.org.co/convocatorias</t>
  </si>
  <si>
    <t>Mensual</t>
  </si>
  <si>
    <t>conocer y discutir los resultados de las adjudicaciones de las convocatorias públicas efectuadas para contratar cuando la cuantía, o las especiales circunstancias así lo ameriten</t>
  </si>
  <si>
    <t>Reportes en SECOP II de convocatoria</t>
  </si>
  <si>
    <t>Jefe Unidad de Apoyo Juridico</t>
  </si>
  <si>
    <t>Código de integridad socializado</t>
  </si>
  <si>
    <t>Jefe Unidad Apoyo Talento Humano</t>
  </si>
  <si>
    <t>Revisión de requisitos previos de contratación</t>
  </si>
  <si>
    <t xml:space="preserve">Ocultar, modificar u ocultar  información considerable de los procesos que incurra en ineficiencia de la evaluación de los requisitos legales aplicables. </t>
  </si>
  <si>
    <t xml:space="preserve">Ocultar o modificar información importante de los procesos
Ineficiente evaluación de los requisitos legales aplicables
Resultados alterados en los informes de auditoría que no contengan la información evaluada
</t>
  </si>
  <si>
    <t>Posibilidad de alterar o modificar informes de auditoría interna, para ocultar información  y favorecer a un tercero</t>
  </si>
  <si>
    <t xml:space="preserve">La oficina Asesora de Evaluación interna debera elaborar  los planes y programas de las auditorias internas. </t>
  </si>
  <si>
    <t xml:space="preserve">La Jefe Asesora de evaluación interna deberá revisar y socializar de manera preliminar las actividades de evaluación con el comité de evaluación interna. </t>
  </si>
  <si>
    <t>La Jefe Asesora de evaluación interna deberá elaborar  informes de cumplimiento y seguimiento de esta Oficina que demuestran la gestión de evaluación y control interno.</t>
  </si>
  <si>
    <t xml:space="preserve">El Instituto mediante Resolución Interna , cuenta con delegación y socialización de  las responsabilidades y funciones de la Oficina de evaluación interna, para el respectivo seguimiento en el cumplimiento de los requisitos internos y normativos aplicables a la gestión institucional. </t>
  </si>
  <si>
    <t>Dirección General
Jefe Oficina Asesora de Evaluación Interna</t>
  </si>
  <si>
    <t xml:space="preserve"> Seguimiento de las actividades implementadas por la Oficina Asesora de Evaluación interna, mediante la ejecución de los comités de evaluación interna e informes de resultados. </t>
  </si>
  <si>
    <t>Dirección General
Jefe Oficina Asesora de Evaluación Interna
Subdirección administrativa y financiera</t>
  </si>
  <si>
    <t>Cuatrimestral</t>
  </si>
  <si>
    <t>Resultados de informes de cumplimiento y seguimiento reportados a la Alta dirección</t>
  </si>
  <si>
    <t>Reportes de informes de actividades evaluadas</t>
  </si>
  <si>
    <t xml:space="preserve">Jefe Unidad de Apoyo Tesoreria
Jefe Unidad de Apoyo presupuesto
Jefe Unidad de Apoyo Contabilidad </t>
  </si>
  <si>
    <t>Asignación formal de responsabilidades para la delegación de funciones propias de cada dependencia.
Socialización de avances insitucionales de manera periodica, para asegurar el avance de cumplimiento de las directrices internas y externas aplicables para la entidad</t>
  </si>
  <si>
    <t>La subdirección administrativa y financiera se encargará de gestionar y tramitar las polizas de seguros que amparen  las pérdidas directas de dinero, titulos valores u otras propiedades, a causa de cualquier infidelidad o falsificación por parte de cualquier empleado y  control de riesgos financieros y  riesgos contra directivos.</t>
  </si>
  <si>
    <t>Adquisición de polizas de seguro que respaldan los bienes inmuebles y actividades de la labor institucional</t>
  </si>
  <si>
    <t>Identificación de activos de la información
Aplicación de politica de seguridad de la información en el Instituto</t>
  </si>
  <si>
    <t xml:space="preserve"> La Subdirección administrativa y financiera  definirá las actividades de control y seguimiento a la conservación, custodia y disposición de la información documentada del Instituto, que ha facilitado la trazabilidad, custodia y accesibilidad de la información.</t>
  </si>
  <si>
    <t xml:space="preserve">El comité de gestión de desempeño deberá revisar y aprobar la  actualización de las tablas de retención documental y valoración documental., cuando se requiera o se solicite un respectivo ajuste, cambio o actualización. </t>
  </si>
  <si>
    <t>La Subidrección Administrativa y financiera emitirá la reglamentación interna de manejo de tales recursos, garantizando en la medida de lo posible la adecuada seguridad y manejo de los recursos financieros de la entidad.</t>
  </si>
  <si>
    <t>La Jefe Asesora de Evaluación Interna realizara  auditorias internas para verificar el adecuado manejo del dinero en efectivo de la entidad y realiza los respectivos informes de seguimiento y control.</t>
  </si>
  <si>
    <t>El Jefe de la Unidad Juridica deberá asegurar el cumplimiento del manual interno de contratación.</t>
  </si>
  <si>
    <t>El  Jefe de la Unidad Juridica  debera verificar el cumplimiento de los procedimientos internos definidos para  la adquisición de bienes y servicios</t>
  </si>
  <si>
    <t>La Unidad de Apoyo Juridica reporta de manera anual el indicador de cumplimiento de elaboración de actas de comité, como constancia de las actividades de contratación establecidas por Manual de contratación.</t>
  </si>
  <si>
    <t xml:space="preserve">Como actividad de seguimiento al cumplimiento de los requerimientos del SGC, se cuenta con el  registro de Informe de revisión por la dirección correspondiente a la vigencia 2022, que es el que reune toda la información consolidada por la Alta Dirección.
Tambien se revisa y se incluye en este informe el resultado de los resultados de auditorias internas, reportado por la Oficina Asesora de Evaluación Interna.
En el mes de mayo de 2023 se obtuvo recertificación del SGC por parte de la entidad CQR S.A.S y el certificado se encuentra publicado en la página web. </t>
  </si>
  <si>
    <t>La Oficina Asesora de Evaluación Interna, reporta mediante el Comité del sistema de evaluaicón interna los resultados de los Informes de auditoria internas, para su respectivo seguimiento y revisión de controles aplicados por los lideres de proceso.</t>
  </si>
  <si>
    <t>Las funciones estan documentadas en el Manual de funciones, establecido oor Resolución Interna No. 069</t>
  </si>
  <si>
    <t xml:space="preserve">El seguimiento y la relación de polizas estan relacionadas al control de los riesgos, en el documento  P10-032 plan de manejo de riesgos  y oportunidades institucional. </t>
  </si>
  <si>
    <t>Por parte de la Oficina T.I  se reportó documento correpondiente al  alcance  No 1 de porgramación de actividades, para dar cumplimiento al  plan de seguridad, privacidad y riesgos de la información.</t>
  </si>
  <si>
    <t>La Oficina T.I reportó avance de actividades de seguridad digital  a la Subdirección administrativa, verificando los siguientes componentes:
1. Seguridad digital
2. Cultura, entrenamiento y politicas
3. Controles tecnologicos
4. Planes de continuidad y contingencia</t>
  </si>
  <si>
    <t xml:space="preserve">Desde la  Subdirección Administrativa y Financiera se tiene modalidad In-house del centro documental a cargo de GRM Document Management.
Desde La Oficina T.I se brinda el respaldo técnico para las actividades de conservación, seguridad  y protección de la información. Actividades que son respaldadas en la ejecución del Plan de acción. </t>
  </si>
  <si>
    <t xml:space="preserve">Las tablas de retención estan aprobadas y vigentes desde el año 2019, se requiere hacer una revisión y actualización según los ajustes de archivos electronicos para la vigencia 2023. </t>
  </si>
  <si>
    <t>Se tienen los  registros de videos de seguridad de las respectivas sedes..</t>
  </si>
  <si>
    <t xml:space="preserve">Reportes de legalización de gastos  revisados por la Unidad de Apoyo Tesoreria y verificados en auditorias internas por parte de la Oficina Asesora de Evaluación Interna. </t>
  </si>
  <si>
    <t>Informes de auditoria de control interno con analisis de resultados y socializados con la Dirección General.</t>
  </si>
  <si>
    <t xml:space="preserve">Desde la Oficina Asesora de Planeación, se veriifca la programación de los planes operativos para emitir vibilidad técnicas a las respectivas solicitudes. </t>
  </si>
  <si>
    <t xml:space="preserve">Desde la Unidad de Apoyo Contabilidad se realizan los ejercicios de consolidación y entrega de información solicitadas por la Revisoria Fiscal. </t>
  </si>
  <si>
    <t xml:space="preserve">La Oficina Asesora de Evaluación Interna realiza un permanente seguimiento mediante el Informe de Evaluación Independiente del Sistema de Control Interno. </t>
  </si>
  <si>
    <t xml:space="preserve">Los informes de gestión solicitados por los entes de control son reportados al comité directivo y por medio del comité del sistema de evaluación interna.  </t>
  </si>
  <si>
    <t>La Unidad de Apoyo Juridica emitió la Resolución interna No. 002 de 2022, que adopta la actualización del manual interno de contratación.  
De los ejercicios de los comites de contratación en el año, se dejan las ayudas de memoria y se reportan en el indicador anual de seguimiento del proceso de gestión legal.</t>
  </si>
  <si>
    <t xml:space="preserve">Desde la Subdirección Administrataiva y Financiera se  documentó el  procedimiento interno P5-007 adquisiciones por minimas cuantias. 
Desde la Unidad de apoyo juridica se documentó el  procedimiento interno P7-05 para la elaboración contratos de Prestación de Servicios y/o de Adquisición de Bienes. </t>
  </si>
  <si>
    <t>De los ejercicios de los comites de contratación en el año, se dejan las ayudas de memoria y se reportan en el indicador anual de seguimiento del proceso de gestión legal.</t>
  </si>
  <si>
    <t xml:space="preserve">Como parte de las actividades de sensibilización, durante la vigencia 2023 se subio a la intranet institucional "la Mochila" una campaña con los valores incorporados en el código de integridad. </t>
  </si>
  <si>
    <t xml:space="preserve">La  Unidad de Apoyo Juridica realiza el cargue  os términos de referencia en el secop. </t>
  </si>
  <si>
    <t xml:space="preserve">A traves del comité del sistema de evaluación interna, se reportan los avances y cumplimientos del plan anual de actividades de evaluación interna para la vigencia. </t>
  </si>
  <si>
    <t xml:space="preserve">Informes Pormenorizado del Estado del Control Interno - Ley 1474 de 2011 (Informe de Evaluación Independiente del Sistema de Control Interno - decreto 2106 de 2019), reportados en la página web del Instituto. </t>
  </si>
  <si>
    <t>A traves del comité del sistema de evaluación interna, se reportan los avances y cumplimientos del plan anual de actividades de evaluación interna para la vigencia. 
Como resultados de estos comites quedan las ayudas de memoria y los informes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</si>
</sst>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d&quot; de &quot;mmmm&quot; de &quot;yyyy;@"/>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8">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5" fillId="0" borderId="0"/>
    <xf numFmtId="0" fontId="15" fillId="0" borderId="0"/>
    <xf numFmtId="165" fontId="15" fillId="0" borderId="0"/>
  </cellStyleXfs>
  <cellXfs count="3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6" fillId="0" borderId="2" xfId="5" applyFont="1" applyBorder="1" applyAlignment="1" applyProtection="1">
      <alignment horizontal="justify" vertical="center" wrapText="1"/>
      <protection locked="0"/>
    </xf>
    <xf numFmtId="0" fontId="1" fillId="0" borderId="2" xfId="5" applyFont="1" applyBorder="1" applyAlignment="1" applyProtection="1">
      <alignment horizontal="justify" vertical="center"/>
      <protection locked="0"/>
    </xf>
    <xf numFmtId="0" fontId="1" fillId="0" borderId="2" xfId="5" applyFont="1" applyBorder="1" applyAlignment="1" applyProtection="1">
      <alignment horizontal="center" vertical="center" wrapText="1"/>
      <protection locked="0"/>
    </xf>
    <xf numFmtId="0" fontId="1" fillId="0" borderId="2" xfId="6" applyFont="1" applyBorder="1" applyAlignment="1" applyProtection="1">
      <alignment horizontal="center" vertical="center" wrapText="1"/>
      <protection locked="0"/>
    </xf>
    <xf numFmtId="0" fontId="1" fillId="0" borderId="2" xfId="6" applyFont="1" applyBorder="1" applyAlignment="1" applyProtection="1">
      <alignment horizontal="center" vertical="center"/>
      <protection locked="0"/>
    </xf>
    <xf numFmtId="0" fontId="1" fillId="0" borderId="2" xfId="5" applyFont="1" applyBorder="1" applyAlignment="1" applyProtection="1">
      <alignment horizontal="center" vertical="center"/>
      <protection locked="0"/>
    </xf>
    <xf numFmtId="14" fontId="1" fillId="0" borderId="2" xfId="6" applyNumberFormat="1" applyFont="1" applyBorder="1" applyAlignment="1" applyProtection="1">
      <alignment horizontal="center" vertical="center"/>
      <protection locked="0"/>
    </xf>
    <xf numFmtId="14" fontId="1" fillId="0" borderId="2" xfId="5" applyNumberFormat="1" applyFont="1" applyBorder="1" applyAlignment="1" applyProtection="1">
      <alignment horizontal="center" vertical="center"/>
      <protection locked="0"/>
    </xf>
    <xf numFmtId="0" fontId="6" fillId="0" borderId="2" xfId="6" applyFont="1" applyBorder="1" applyAlignment="1" applyProtection="1">
      <alignment horizontal="justify" vertical="center" wrapText="1"/>
      <protection locked="0"/>
    </xf>
    <xf numFmtId="0" fontId="1" fillId="0" borderId="2" xfId="6" applyFont="1" applyBorder="1" applyAlignment="1" applyProtection="1">
      <alignment horizontal="justify" vertical="center"/>
      <protection locked="0"/>
    </xf>
    <xf numFmtId="0" fontId="1" fillId="0" borderId="2" xfId="6" applyFont="1" applyBorder="1" applyAlignment="1" applyProtection="1">
      <alignment horizontal="justify" vertical="center"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5" applyFont="1" applyFill="1" applyBorder="1" applyAlignment="1" applyProtection="1">
      <alignment horizontal="left" vertical="center"/>
      <protection locked="0"/>
    </xf>
    <xf numFmtId="0" fontId="8" fillId="3" borderId="10" xfId="5" applyFont="1" applyFill="1" applyBorder="1" applyAlignment="1" applyProtection="1">
      <alignment horizontal="left" vertical="center"/>
      <protection locked="0"/>
    </xf>
    <xf numFmtId="0" fontId="8" fillId="3" borderId="7" xfId="5"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5" applyFont="1" applyFill="1" applyBorder="1" applyAlignment="1" applyProtection="1">
      <alignment horizontal="left" vertical="center" wrapText="1"/>
      <protection locked="0"/>
    </xf>
    <xf numFmtId="0" fontId="8" fillId="3" borderId="10" xfId="5" applyFont="1" applyFill="1" applyBorder="1" applyAlignment="1" applyProtection="1">
      <alignment horizontal="left" vertical="center" wrapText="1"/>
      <protection locked="0"/>
    </xf>
    <xf numFmtId="0" fontId="8" fillId="3" borderId="7" xfId="5"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8">
    <cellStyle name="Normal" xfId="0" builtinId="0"/>
    <cellStyle name="Normal - Style1 2" xfId="2" xr:uid="{00000000-0005-0000-0000-000001000000}"/>
    <cellStyle name="Normal 2" xfId="4" xr:uid="{00000000-0005-0000-0000-000002000000}"/>
    <cellStyle name="Normal 2 2" xfId="3" xr:uid="{00000000-0005-0000-0000-000003000000}"/>
    <cellStyle name="Normal 7" xfId="6" xr:uid="{00000000-0005-0000-0000-000004000000}"/>
    <cellStyle name="Normal 8" xfId="5" xr:uid="{00000000-0005-0000-0000-000005000000}"/>
    <cellStyle name="Normal 9" xfId="7" xr:uid="{83031D6E-3E4E-4764-9DAC-A259A75B75FF}"/>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RowHeight="15" x14ac:dyDescent="0.2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x14ac:dyDescent="0.3"/>
    <row r="2" spans="2:8" ht="18" x14ac:dyDescent="0.25">
      <c r="B2" s="165" t="s">
        <v>166</v>
      </c>
      <c r="C2" s="166"/>
      <c r="D2" s="166"/>
      <c r="E2" s="166"/>
      <c r="F2" s="166"/>
      <c r="G2" s="166"/>
      <c r="H2" s="167"/>
    </row>
    <row r="3" spans="2:8" x14ac:dyDescent="0.25">
      <c r="B3" s="98"/>
      <c r="C3" s="99"/>
      <c r="D3" s="99"/>
      <c r="E3" s="99"/>
      <c r="F3" s="99"/>
      <c r="G3" s="99"/>
      <c r="H3" s="100"/>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6.5" x14ac:dyDescent="0.25">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34"/>
      <c r="C8" s="135"/>
      <c r="D8" s="135"/>
      <c r="E8" s="135"/>
      <c r="F8" s="135"/>
      <c r="G8" s="135"/>
      <c r="H8" s="136"/>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23"/>
      <c r="C11" s="126"/>
      <c r="D11" s="131"/>
      <c r="E11" s="132"/>
      <c r="F11" s="132"/>
      <c r="G11" s="133"/>
      <c r="H11" s="127"/>
    </row>
    <row r="12" spans="2:8" ht="15.75" thickTop="1" x14ac:dyDescent="0.25">
      <c r="B12" s="123"/>
      <c r="C12" s="180" t="s">
        <v>165</v>
      </c>
      <c r="D12" s="181"/>
      <c r="E12" s="182" t="s">
        <v>203</v>
      </c>
      <c r="F12" s="183"/>
      <c r="G12" s="126"/>
      <c r="H12" s="127"/>
    </row>
    <row r="13" spans="2:8" ht="35.25" customHeight="1" x14ac:dyDescent="0.25">
      <c r="B13" s="123"/>
      <c r="C13" s="152" t="s">
        <v>196</v>
      </c>
      <c r="D13" s="153"/>
      <c r="E13" s="154" t="s">
        <v>201</v>
      </c>
      <c r="F13" s="155"/>
      <c r="G13" s="126"/>
      <c r="H13" s="127"/>
    </row>
    <row r="14" spans="2:8" ht="17.25" customHeight="1" x14ac:dyDescent="0.25">
      <c r="B14" s="123"/>
      <c r="C14" s="152" t="s">
        <v>197</v>
      </c>
      <c r="D14" s="153"/>
      <c r="E14" s="154" t="s">
        <v>199</v>
      </c>
      <c r="F14" s="155"/>
      <c r="G14" s="126"/>
      <c r="H14" s="127"/>
    </row>
    <row r="15" spans="2:8" ht="19.5" customHeight="1" x14ac:dyDescent="0.25">
      <c r="B15" s="123"/>
      <c r="C15" s="152" t="s">
        <v>198</v>
      </c>
      <c r="D15" s="153"/>
      <c r="E15" s="154" t="s">
        <v>200</v>
      </c>
      <c r="F15" s="155"/>
      <c r="G15" s="126"/>
      <c r="H15" s="127"/>
    </row>
    <row r="16" spans="2:8" ht="69.75" customHeight="1" x14ac:dyDescent="0.25">
      <c r="B16" s="123"/>
      <c r="C16" s="152" t="s">
        <v>167</v>
      </c>
      <c r="D16" s="153"/>
      <c r="E16" s="154" t="s">
        <v>168</v>
      </c>
      <c r="F16" s="155"/>
      <c r="G16" s="126"/>
      <c r="H16" s="127"/>
    </row>
    <row r="17" spans="2:8" ht="34.5" customHeight="1" x14ac:dyDescent="0.25">
      <c r="B17" s="123"/>
      <c r="C17" s="156" t="s">
        <v>2</v>
      </c>
      <c r="D17" s="157"/>
      <c r="E17" s="148" t="s">
        <v>210</v>
      </c>
      <c r="F17" s="149"/>
      <c r="G17" s="126"/>
      <c r="H17" s="127"/>
    </row>
    <row r="18" spans="2:8" ht="27.75" customHeight="1" x14ac:dyDescent="0.25">
      <c r="B18" s="123"/>
      <c r="C18" s="156" t="s">
        <v>3</v>
      </c>
      <c r="D18" s="157"/>
      <c r="E18" s="148" t="s">
        <v>211</v>
      </c>
      <c r="F18" s="149"/>
      <c r="G18" s="126"/>
      <c r="H18" s="127"/>
    </row>
    <row r="19" spans="2:8" ht="28.5" customHeight="1" x14ac:dyDescent="0.25">
      <c r="B19" s="123"/>
      <c r="C19" s="156" t="s">
        <v>42</v>
      </c>
      <c r="D19" s="157"/>
      <c r="E19" s="148" t="s">
        <v>212</v>
      </c>
      <c r="F19" s="149"/>
      <c r="G19" s="126"/>
      <c r="H19" s="127"/>
    </row>
    <row r="20" spans="2:8" ht="72.75" customHeight="1" x14ac:dyDescent="0.25">
      <c r="B20" s="123"/>
      <c r="C20" s="156" t="s">
        <v>1</v>
      </c>
      <c r="D20" s="157"/>
      <c r="E20" s="148" t="s">
        <v>213</v>
      </c>
      <c r="F20" s="149"/>
      <c r="G20" s="126"/>
      <c r="H20" s="127"/>
    </row>
    <row r="21" spans="2:8" ht="64.5" customHeight="1" x14ac:dyDescent="0.25">
      <c r="B21" s="123"/>
      <c r="C21" s="156" t="s">
        <v>50</v>
      </c>
      <c r="D21" s="157"/>
      <c r="E21" s="148" t="s">
        <v>171</v>
      </c>
      <c r="F21" s="149"/>
      <c r="G21" s="126"/>
      <c r="H21" s="127"/>
    </row>
    <row r="22" spans="2:8" ht="71.25" customHeight="1" x14ac:dyDescent="0.25">
      <c r="B22" s="123"/>
      <c r="C22" s="156" t="s">
        <v>170</v>
      </c>
      <c r="D22" s="157"/>
      <c r="E22" s="148" t="s">
        <v>172</v>
      </c>
      <c r="F22" s="149"/>
      <c r="G22" s="126"/>
      <c r="H22" s="127"/>
    </row>
    <row r="23" spans="2:8" ht="55.5" customHeight="1" x14ac:dyDescent="0.25">
      <c r="B23" s="123"/>
      <c r="C23" s="150" t="s">
        <v>173</v>
      </c>
      <c r="D23" s="151"/>
      <c r="E23" s="148" t="s">
        <v>174</v>
      </c>
      <c r="F23" s="149"/>
      <c r="G23" s="126"/>
      <c r="H23" s="127"/>
    </row>
    <row r="24" spans="2:8" ht="42" customHeight="1" x14ac:dyDescent="0.25">
      <c r="B24" s="123"/>
      <c r="C24" s="150" t="s">
        <v>48</v>
      </c>
      <c r="D24" s="151"/>
      <c r="E24" s="148" t="s">
        <v>175</v>
      </c>
      <c r="F24" s="149"/>
      <c r="G24" s="126"/>
      <c r="H24" s="127"/>
    </row>
    <row r="25" spans="2:8" ht="59.25" customHeight="1" x14ac:dyDescent="0.25">
      <c r="B25" s="123"/>
      <c r="C25" s="150" t="s">
        <v>163</v>
      </c>
      <c r="D25" s="151"/>
      <c r="E25" s="148" t="s">
        <v>176</v>
      </c>
      <c r="F25" s="149"/>
      <c r="G25" s="126"/>
      <c r="H25" s="127"/>
    </row>
    <row r="26" spans="2:8" ht="23.25" customHeight="1" x14ac:dyDescent="0.25">
      <c r="B26" s="123"/>
      <c r="C26" s="150" t="s">
        <v>12</v>
      </c>
      <c r="D26" s="151"/>
      <c r="E26" s="148" t="s">
        <v>177</v>
      </c>
      <c r="F26" s="149"/>
      <c r="G26" s="126"/>
      <c r="H26" s="127"/>
    </row>
    <row r="27" spans="2:8" ht="30.75" customHeight="1" x14ac:dyDescent="0.25">
      <c r="B27" s="123"/>
      <c r="C27" s="150" t="s">
        <v>181</v>
      </c>
      <c r="D27" s="151"/>
      <c r="E27" s="148" t="s">
        <v>178</v>
      </c>
      <c r="F27" s="149"/>
      <c r="G27" s="126"/>
      <c r="H27" s="127"/>
    </row>
    <row r="28" spans="2:8" ht="35.25" customHeight="1" x14ac:dyDescent="0.25">
      <c r="B28" s="123"/>
      <c r="C28" s="150" t="s">
        <v>182</v>
      </c>
      <c r="D28" s="151"/>
      <c r="E28" s="148" t="s">
        <v>179</v>
      </c>
      <c r="F28" s="149"/>
      <c r="G28" s="126"/>
      <c r="H28" s="127"/>
    </row>
    <row r="29" spans="2:8" ht="33" customHeight="1" x14ac:dyDescent="0.25">
      <c r="B29" s="123"/>
      <c r="C29" s="150" t="s">
        <v>182</v>
      </c>
      <c r="D29" s="151"/>
      <c r="E29" s="148" t="s">
        <v>179</v>
      </c>
      <c r="F29" s="149"/>
      <c r="G29" s="126"/>
      <c r="H29" s="127"/>
    </row>
    <row r="30" spans="2:8" ht="30" customHeight="1" x14ac:dyDescent="0.25">
      <c r="B30" s="123"/>
      <c r="C30" s="150" t="s">
        <v>183</v>
      </c>
      <c r="D30" s="151"/>
      <c r="E30" s="148" t="s">
        <v>180</v>
      </c>
      <c r="F30" s="149"/>
      <c r="G30" s="126"/>
      <c r="H30" s="127"/>
    </row>
    <row r="31" spans="2:8" ht="35.25" customHeight="1" x14ac:dyDescent="0.25">
      <c r="B31" s="123"/>
      <c r="C31" s="150" t="s">
        <v>184</v>
      </c>
      <c r="D31" s="151"/>
      <c r="E31" s="148" t="s">
        <v>185</v>
      </c>
      <c r="F31" s="149"/>
      <c r="G31" s="126"/>
      <c r="H31" s="127"/>
    </row>
    <row r="32" spans="2:8" ht="31.5" customHeight="1" x14ac:dyDescent="0.25">
      <c r="B32" s="123"/>
      <c r="C32" s="150" t="s">
        <v>186</v>
      </c>
      <c r="D32" s="151"/>
      <c r="E32" s="148" t="s">
        <v>187</v>
      </c>
      <c r="F32" s="149"/>
      <c r="G32" s="126"/>
      <c r="H32" s="127"/>
    </row>
    <row r="33" spans="2:8" ht="35.25" customHeight="1" x14ac:dyDescent="0.25">
      <c r="B33" s="123"/>
      <c r="C33" s="150" t="s">
        <v>188</v>
      </c>
      <c r="D33" s="151"/>
      <c r="E33" s="148" t="s">
        <v>189</v>
      </c>
      <c r="F33" s="149"/>
      <c r="G33" s="126"/>
      <c r="H33" s="127"/>
    </row>
    <row r="34" spans="2:8" ht="59.25" customHeight="1" x14ac:dyDescent="0.25">
      <c r="B34" s="123"/>
      <c r="C34" s="150" t="s">
        <v>190</v>
      </c>
      <c r="D34" s="151"/>
      <c r="E34" s="148" t="s">
        <v>191</v>
      </c>
      <c r="F34" s="149"/>
      <c r="G34" s="126"/>
      <c r="H34" s="127"/>
    </row>
    <row r="35" spans="2:8" ht="29.25" customHeight="1" x14ac:dyDescent="0.25">
      <c r="B35" s="123"/>
      <c r="C35" s="150" t="s">
        <v>29</v>
      </c>
      <c r="D35" s="151"/>
      <c r="E35" s="148" t="s">
        <v>192</v>
      </c>
      <c r="F35" s="149"/>
      <c r="G35" s="126"/>
      <c r="H35" s="127"/>
    </row>
    <row r="36" spans="2:8" ht="82.5" customHeight="1" x14ac:dyDescent="0.25">
      <c r="B36" s="123"/>
      <c r="C36" s="150" t="s">
        <v>194</v>
      </c>
      <c r="D36" s="151"/>
      <c r="E36" s="148" t="s">
        <v>193</v>
      </c>
      <c r="F36" s="149"/>
      <c r="G36" s="126"/>
      <c r="H36" s="127"/>
    </row>
    <row r="37" spans="2:8" ht="46.5" customHeight="1" x14ac:dyDescent="0.25">
      <c r="B37" s="123"/>
      <c r="C37" s="150" t="s">
        <v>39</v>
      </c>
      <c r="D37" s="151"/>
      <c r="E37" s="148" t="s">
        <v>195</v>
      </c>
      <c r="F37" s="149"/>
      <c r="G37" s="126"/>
      <c r="H37" s="127"/>
    </row>
    <row r="38" spans="2:8" ht="6.75" customHeight="1" thickBot="1" x14ac:dyDescent="0.3">
      <c r="B38" s="123"/>
      <c r="C38" s="161"/>
      <c r="D38" s="162"/>
      <c r="E38" s="163"/>
      <c r="F38" s="164"/>
      <c r="G38" s="126"/>
      <c r="H38" s="127"/>
    </row>
    <row r="39" spans="2:8" ht="15.75" thickTop="1" x14ac:dyDescent="0.25">
      <c r="B39" s="123"/>
      <c r="C39" s="124"/>
      <c r="D39" s="124"/>
      <c r="E39" s="125"/>
      <c r="F39" s="125"/>
      <c r="G39" s="126"/>
      <c r="H39" s="127"/>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28"/>
      <c r="C45" s="129"/>
      <c r="D45" s="129"/>
      <c r="E45" s="129"/>
      <c r="F45" s="129"/>
      <c r="G45" s="129"/>
      <c r="H45" s="130"/>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P72"/>
  <sheetViews>
    <sheetView tabSelected="1" view="pageBreakPreview" topLeftCell="G10" zoomScale="70" zoomScaleNormal="60" zoomScaleSheetLayoutView="70" workbookViewId="0">
      <selection activeCell="Y19" sqref="Y19"/>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1" t="s">
        <v>144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9"/>
      <c r="B3" s="30"/>
      <c r="C3" s="29"/>
      <c r="D3" s="29"/>
      <c r="E3" s="8"/>
      <c r="F3" s="2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8" t="s">
        <v>43</v>
      </c>
      <c r="B4" s="229"/>
      <c r="C4" s="187" t="s">
        <v>214</v>
      </c>
      <c r="D4" s="188"/>
      <c r="E4" s="188"/>
      <c r="F4" s="188"/>
      <c r="G4" s="188"/>
      <c r="H4" s="188"/>
      <c r="I4" s="188"/>
      <c r="J4" s="188"/>
      <c r="K4" s="188"/>
      <c r="L4" s="188"/>
      <c r="M4" s="188"/>
      <c r="N4" s="189"/>
      <c r="O4" s="190"/>
      <c r="P4" s="190"/>
      <c r="Q4" s="19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8" t="s">
        <v>130</v>
      </c>
      <c r="B5" s="229"/>
      <c r="C5" s="187" t="s">
        <v>215</v>
      </c>
      <c r="D5" s="188"/>
      <c r="E5" s="188"/>
      <c r="F5" s="188"/>
      <c r="G5" s="188"/>
      <c r="H5" s="188"/>
      <c r="I5" s="188"/>
      <c r="J5" s="188"/>
      <c r="K5" s="188"/>
      <c r="L5" s="188"/>
      <c r="M5" s="188"/>
      <c r="N5" s="18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8" t="s">
        <v>44</v>
      </c>
      <c r="B6" s="229"/>
      <c r="C6" s="238" t="s">
        <v>216</v>
      </c>
      <c r="D6" s="239"/>
      <c r="E6" s="239"/>
      <c r="F6" s="239"/>
      <c r="G6" s="239"/>
      <c r="H6" s="239"/>
      <c r="I6" s="239"/>
      <c r="J6" s="239"/>
      <c r="K6" s="239"/>
      <c r="L6" s="239"/>
      <c r="M6" s="239"/>
      <c r="N6" s="24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7" t="s">
        <v>139</v>
      </c>
      <c r="B7" s="198"/>
      <c r="C7" s="198"/>
      <c r="D7" s="198"/>
      <c r="E7" s="198"/>
      <c r="F7" s="198"/>
      <c r="G7" s="199"/>
      <c r="H7" s="197" t="s">
        <v>140</v>
      </c>
      <c r="I7" s="198"/>
      <c r="J7" s="198"/>
      <c r="K7" s="198"/>
      <c r="L7" s="198"/>
      <c r="M7" s="198"/>
      <c r="N7" s="199"/>
      <c r="O7" s="197" t="s">
        <v>141</v>
      </c>
      <c r="P7" s="198"/>
      <c r="Q7" s="198"/>
      <c r="R7" s="198"/>
      <c r="S7" s="198"/>
      <c r="T7" s="198"/>
      <c r="U7" s="198"/>
      <c r="V7" s="198"/>
      <c r="W7" s="199"/>
      <c r="X7" s="197" t="s">
        <v>142</v>
      </c>
      <c r="Y7" s="198"/>
      <c r="Z7" s="198"/>
      <c r="AA7" s="198"/>
      <c r="AB7" s="198"/>
      <c r="AC7" s="198"/>
      <c r="AD7" s="199"/>
      <c r="AE7" s="197" t="s">
        <v>34</v>
      </c>
      <c r="AF7" s="198"/>
      <c r="AG7" s="198"/>
      <c r="AH7" s="198"/>
      <c r="AI7" s="198"/>
      <c r="AJ7" s="19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30" t="s">
        <v>0</v>
      </c>
      <c r="B8" s="235" t="s">
        <v>2</v>
      </c>
      <c r="C8" s="233" t="s">
        <v>3</v>
      </c>
      <c r="D8" s="233" t="s">
        <v>42</v>
      </c>
      <c r="E8" s="234" t="s">
        <v>1</v>
      </c>
      <c r="F8" s="232" t="s">
        <v>50</v>
      </c>
      <c r="G8" s="233" t="s">
        <v>135</v>
      </c>
      <c r="H8" s="242" t="s">
        <v>33</v>
      </c>
      <c r="I8" s="243" t="s">
        <v>5</v>
      </c>
      <c r="J8" s="232" t="s">
        <v>87</v>
      </c>
      <c r="K8" s="232" t="s">
        <v>92</v>
      </c>
      <c r="L8" s="245" t="s">
        <v>45</v>
      </c>
      <c r="M8" s="243" t="s">
        <v>5</v>
      </c>
      <c r="N8" s="233" t="s">
        <v>48</v>
      </c>
      <c r="O8" s="236" t="s">
        <v>11</v>
      </c>
      <c r="P8" s="227" t="s">
        <v>163</v>
      </c>
      <c r="Q8" s="232" t="s">
        <v>12</v>
      </c>
      <c r="R8" s="227" t="s">
        <v>8</v>
      </c>
      <c r="S8" s="227"/>
      <c r="T8" s="227"/>
      <c r="U8" s="227"/>
      <c r="V8" s="227"/>
      <c r="W8" s="227"/>
      <c r="X8" s="241" t="s">
        <v>138</v>
      </c>
      <c r="Y8" s="241" t="s">
        <v>46</v>
      </c>
      <c r="Z8" s="241" t="s">
        <v>5</v>
      </c>
      <c r="AA8" s="241" t="s">
        <v>47</v>
      </c>
      <c r="AB8" s="241" t="s">
        <v>5</v>
      </c>
      <c r="AC8" s="241" t="s">
        <v>49</v>
      </c>
      <c r="AD8" s="236" t="s">
        <v>29</v>
      </c>
      <c r="AE8" s="227" t="s">
        <v>34</v>
      </c>
      <c r="AF8" s="227" t="s">
        <v>35</v>
      </c>
      <c r="AG8" s="227" t="s">
        <v>36</v>
      </c>
      <c r="AH8" s="227" t="s">
        <v>38</v>
      </c>
      <c r="AI8" s="227" t="s">
        <v>37</v>
      </c>
      <c r="AJ8" s="22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1"/>
      <c r="B9" s="235"/>
      <c r="C9" s="227"/>
      <c r="D9" s="227"/>
      <c r="E9" s="235"/>
      <c r="F9" s="233"/>
      <c r="G9" s="227"/>
      <c r="H9" s="233"/>
      <c r="I9" s="244"/>
      <c r="J9" s="233"/>
      <c r="K9" s="233"/>
      <c r="L9" s="244"/>
      <c r="M9" s="244"/>
      <c r="N9" s="227"/>
      <c r="O9" s="237"/>
      <c r="P9" s="227"/>
      <c r="Q9" s="233"/>
      <c r="R9" s="7" t="s">
        <v>13</v>
      </c>
      <c r="S9" s="7" t="s">
        <v>17</v>
      </c>
      <c r="T9" s="7" t="s">
        <v>28</v>
      </c>
      <c r="U9" s="7" t="s">
        <v>18</v>
      </c>
      <c r="V9" s="7" t="s">
        <v>21</v>
      </c>
      <c r="W9" s="7" t="s">
        <v>24</v>
      </c>
      <c r="X9" s="241"/>
      <c r="Y9" s="241"/>
      <c r="Z9" s="241"/>
      <c r="AA9" s="241"/>
      <c r="AB9" s="241"/>
      <c r="AC9" s="241"/>
      <c r="AD9" s="237"/>
      <c r="AE9" s="227"/>
      <c r="AF9" s="227"/>
      <c r="AG9" s="227"/>
      <c r="AH9" s="227"/>
      <c r="AI9" s="227"/>
      <c r="AJ9" s="227"/>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row>
    <row r="10" spans="1:68" s="3" customFormat="1" ht="167.25" customHeight="1" x14ac:dyDescent="0.25">
      <c r="A10" s="209">
        <v>1</v>
      </c>
      <c r="B10" s="212" t="s">
        <v>134</v>
      </c>
      <c r="C10" s="212" t="s">
        <v>217</v>
      </c>
      <c r="D10" s="212" t="s">
        <v>218</v>
      </c>
      <c r="E10" s="215" t="s">
        <v>219</v>
      </c>
      <c r="F10" s="212" t="s">
        <v>125</v>
      </c>
      <c r="G10" s="218">
        <v>20</v>
      </c>
      <c r="H10" s="221" t="str">
        <f>IF(G10&lt;=0,"",IF(G10&lt;=2,"Muy Baja",IF(G10&lt;=24,"Baja",IF(G10&lt;=500,"Media",IF(G10&lt;=5000,"Alta","Muy Alta")))))</f>
        <v>Baja</v>
      </c>
      <c r="I10" s="203">
        <f>IF(H10="","",IF(H10="Muy Baja",0.2,IF(H10="Baja",0.4,IF(H10="Media",0.6,IF(H10="Alta",0.8,IF(H10="Muy Alta",1,))))))</f>
        <v>0.4</v>
      </c>
      <c r="J10" s="224" t="s">
        <v>154</v>
      </c>
      <c r="K10" s="203" t="str">
        <f>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21" t="str">
        <f>IF(OR(K10='Tabla Impacto'!$C$11,K10='Tabla Impacto'!$D$11),"Leve",IF(OR(K10='Tabla Impacto'!$C$12,K10='Tabla Impacto'!$D$12),"Menor",IF(OR(K10='Tabla Impacto'!$C$13,K10='Tabla Impacto'!$D$13),"Moderado",IF(OR(K10='Tabla Impacto'!$C$14,K10='Tabla Impacto'!$D$14),"Mayor",IF(OR(K10='Tabla Impacto'!$C$15,K10='Tabla Impacto'!$D$15),"Catastrófico","")))))</f>
        <v>Menor</v>
      </c>
      <c r="M10" s="203">
        <f>IF(L10="","",IF(L10="Leve",0.2,IF(L10="Menor",0.4,IF(L10="Moderado",0.6,IF(L10="Mayor",0.8,IF(L10="Catastrófico",1,))))))</f>
        <v>0.4</v>
      </c>
      <c r="N10" s="20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v>
      </c>
      <c r="P10" s="137" t="s">
        <v>220</v>
      </c>
      <c r="Q10" s="51" t="str">
        <f>IF(OR(R10="Preventivo",R10="Detectivo"),"Probabilidad",IF(R10="Correctivo","Impacto",""))</f>
        <v>Probabilidad</v>
      </c>
      <c r="R10" s="52" t="s">
        <v>14</v>
      </c>
      <c r="S10" s="52" t="s">
        <v>9</v>
      </c>
      <c r="T10" s="53" t="str">
        <f>IF(AND(R10="Preventivo",S10="Automático"),"50%",IF(AND(R10="Preventivo",S10="Manual"),"40%",IF(AND(R10="Detectivo",S10="Automático"),"40%",IF(AND(R10="Detectivo",S10="Manual"),"30%",IF(AND(R10="Correctivo",S10="Automático"),"35%",IF(AND(R10="Correctivo",S10="Manual"),"25%",""))))))</f>
        <v>40%</v>
      </c>
      <c r="U10" s="52" t="s">
        <v>19</v>
      </c>
      <c r="V10" s="52" t="s">
        <v>22</v>
      </c>
      <c r="W10" s="52" t="s">
        <v>119</v>
      </c>
      <c r="X10" s="24">
        <f>IFERROR(IF(Q10="Probabilidad",(I10-(+I10*T10)),IF(Q10="Impacto",I10,"")),"")</f>
        <v>0.24</v>
      </c>
      <c r="Y10" s="54" t="str">
        <f>IFERROR(IF(X10="","",IF(X10&lt;=0.2,"Muy Baja",IF(X10&lt;=0.4,"Baja",IF(X10&lt;=0.6,"Media",IF(X10&lt;=0.8,"Alta","Muy Alta"))))),"")</f>
        <v>Baja</v>
      </c>
      <c r="Z10" s="55">
        <f>+X10</f>
        <v>0.24</v>
      </c>
      <c r="AA10" s="54" t="str">
        <f>IFERROR(IF(AB10="","",IF(AB10&lt;=0.2,"Leve",IF(AB10&lt;=0.4,"Menor",IF(AB10&lt;=0.6,"Moderado",IF(AB10&lt;=0.8,"Mayor","Catastrófico"))))),"")</f>
        <v>Menor</v>
      </c>
      <c r="AB10" s="55">
        <f>IFERROR(IF(Q10="Impacto",(M10-(+M10*T10)),IF(Q10="Probabilidad",M10,"")),"")</f>
        <v>0.4</v>
      </c>
      <c r="AC10" s="56"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57" t="s">
        <v>136</v>
      </c>
      <c r="AE10" s="139" t="s">
        <v>224</v>
      </c>
      <c r="AF10" s="139" t="s">
        <v>227</v>
      </c>
      <c r="AG10" s="143" t="s">
        <v>232</v>
      </c>
      <c r="AH10" s="59">
        <v>45291</v>
      </c>
      <c r="AI10" s="139" t="s">
        <v>302</v>
      </c>
      <c r="AJ10" s="48" t="s">
        <v>41</v>
      </c>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row>
    <row r="11" spans="1:68" ht="151.5" customHeight="1" x14ac:dyDescent="0.3">
      <c r="A11" s="210"/>
      <c r="B11" s="213"/>
      <c r="C11" s="213"/>
      <c r="D11" s="213"/>
      <c r="E11" s="216"/>
      <c r="F11" s="213"/>
      <c r="G11" s="219"/>
      <c r="H11" s="222"/>
      <c r="I11" s="204"/>
      <c r="J11" s="225"/>
      <c r="K11" s="204">
        <f>IF(NOT(ISERROR(MATCH(J11,_xlfn.ANCHORARRAY(E22),0))),I24&amp;"Por favor no seleccionar los criterios de impacto",J11)</f>
        <v>0</v>
      </c>
      <c r="L11" s="222"/>
      <c r="M11" s="204"/>
      <c r="N11" s="207"/>
      <c r="O11" s="6">
        <v>2</v>
      </c>
      <c r="P11" s="137" t="s">
        <v>221</v>
      </c>
      <c r="Q11" s="51" t="str">
        <f>IF(OR(R11="Preventivo",R11="Detectivo"),"Probabilidad",IF(R11="Correctivo","Impacto",""))</f>
        <v>Probabilidad</v>
      </c>
      <c r="R11" s="52" t="s">
        <v>14</v>
      </c>
      <c r="S11" s="52" t="s">
        <v>9</v>
      </c>
      <c r="T11" s="53" t="str">
        <f t="shared" ref="T11:T15" si="0">IF(AND(R11="Preventivo",S11="Automático"),"50%",IF(AND(R11="Preventivo",S11="Manual"),"40%",IF(AND(R11="Detectivo",S11="Automático"),"40%",IF(AND(R11="Detectivo",S11="Manual"),"30%",IF(AND(R11="Correctivo",S11="Automático"),"35%",IF(AND(R11="Correctivo",S11="Manual"),"25%",""))))))</f>
        <v>40%</v>
      </c>
      <c r="U11" s="52" t="s">
        <v>19</v>
      </c>
      <c r="V11" s="52" t="s">
        <v>22</v>
      </c>
      <c r="W11" s="52" t="s">
        <v>119</v>
      </c>
      <c r="X11" s="24">
        <f>IFERROR(IF(AND(Q10="Probabilidad",Q11="Probabilidad"),(Z10-(+Z10*T11)),IF(Q11="Probabilidad",(I10-(+I10*T11)),IF(Q11="Impacto",Z10,""))),"")</f>
        <v>0.14399999999999999</v>
      </c>
      <c r="Y11" s="54" t="str">
        <f t="shared" ref="Y11:Y69" si="1">IFERROR(IF(X11="","",IF(X11&lt;=0.2,"Muy Baja",IF(X11&lt;=0.4,"Baja",IF(X11&lt;=0.6,"Media",IF(X11&lt;=0.8,"Alta","Muy Alta"))))),"")</f>
        <v>Muy Baja</v>
      </c>
      <c r="Z11" s="55">
        <f t="shared" ref="Z11:Z15" si="2">+X11</f>
        <v>0.14399999999999999</v>
      </c>
      <c r="AA11" s="54" t="str">
        <f t="shared" ref="AA11:AA69" si="3">IFERROR(IF(AB11="","",IF(AB11&lt;=0.2,"Leve",IF(AB11&lt;=0.4,"Menor",IF(AB11&lt;=0.6,"Moderado",IF(AB11&lt;=0.8,"Mayor","Catastrófico"))))),"")</f>
        <v>Menor</v>
      </c>
      <c r="AB11" s="55">
        <f>IFERROR(IF(AND(Q10="Impacto",Q11="Impacto"),(AB10-(+AB10*T11)),IF(Q11="Impacto",($M$10-(+$M$10*T11)),IF(Q11="Probabilidad",AB10,""))),"")</f>
        <v>0.4</v>
      </c>
      <c r="AC11" s="56"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57" t="s">
        <v>136</v>
      </c>
      <c r="AE11" s="139" t="s">
        <v>225</v>
      </c>
      <c r="AF11" s="140" t="s">
        <v>230</v>
      </c>
      <c r="AG11" s="143" t="s">
        <v>232</v>
      </c>
      <c r="AH11" s="59">
        <v>45291</v>
      </c>
      <c r="AI11" s="140" t="s">
        <v>303</v>
      </c>
      <c r="AJ11" s="48" t="s">
        <v>40</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10"/>
      <c r="B12" s="213"/>
      <c r="C12" s="213"/>
      <c r="D12" s="213"/>
      <c r="E12" s="216"/>
      <c r="F12" s="213"/>
      <c r="G12" s="219"/>
      <c r="H12" s="222"/>
      <c r="I12" s="204"/>
      <c r="J12" s="225"/>
      <c r="K12" s="204">
        <f>IF(NOT(ISERROR(MATCH(J12,_xlfn.ANCHORARRAY(E23),0))),I25&amp;"Por favor no seleccionar los criterios de impacto",J12)</f>
        <v>0</v>
      </c>
      <c r="L12" s="222"/>
      <c r="M12" s="204"/>
      <c r="N12" s="207"/>
      <c r="O12" s="6">
        <v>3</v>
      </c>
      <c r="P12" s="138" t="s">
        <v>222</v>
      </c>
      <c r="Q12" s="51" t="str">
        <f>IF(OR(R12="Preventivo",R12="Detectivo"),"Probabilidad",IF(R12="Correctivo","Impacto",""))</f>
        <v>Probabilidad</v>
      </c>
      <c r="R12" s="52" t="s">
        <v>15</v>
      </c>
      <c r="S12" s="52" t="s">
        <v>9</v>
      </c>
      <c r="T12" s="53" t="str">
        <f t="shared" si="0"/>
        <v>30%</v>
      </c>
      <c r="U12" s="52" t="s">
        <v>19</v>
      </c>
      <c r="V12" s="52" t="s">
        <v>22</v>
      </c>
      <c r="W12" s="52" t="s">
        <v>119</v>
      </c>
      <c r="X12" s="24">
        <f>IFERROR(IF(AND(Q11="Probabilidad",Q12="Probabilidad"),(Z11-(+Z11*T12)),IF(AND(Q11="Impacto",Q12="Probabilidad"),(Z10-(+Z10*T12)),IF(Q12="Impacto",Z11,""))),"")</f>
        <v>0.1008</v>
      </c>
      <c r="Y12" s="54" t="str">
        <f t="shared" si="1"/>
        <v>Muy Baja</v>
      </c>
      <c r="Z12" s="55">
        <f t="shared" si="2"/>
        <v>0.1008</v>
      </c>
      <c r="AA12" s="54" t="str">
        <f t="shared" si="3"/>
        <v>Menor</v>
      </c>
      <c r="AB12" s="55">
        <f>IFERROR(IF(AND(Q11="Impacto",Q12="Impacto"),(AB11-(+AB11*T12)),IF(AND(Q11="Probabilidad",Q12="Impacto"),(AB10-(+AB10*T12)),IF(Q12="Probabilidad",AB11,""))),"")</f>
        <v>0.4</v>
      </c>
      <c r="AC12" s="56" t="str">
        <f t="shared" si="4"/>
        <v>Bajo</v>
      </c>
      <c r="AD12" s="57" t="s">
        <v>136</v>
      </c>
      <c r="AE12" s="140" t="s">
        <v>226</v>
      </c>
      <c r="AF12" s="140" t="s">
        <v>229</v>
      </c>
      <c r="AG12" s="143" t="s">
        <v>232</v>
      </c>
      <c r="AH12" s="59">
        <v>45291</v>
      </c>
      <c r="AI12" s="139" t="s">
        <v>304</v>
      </c>
      <c r="AJ12" s="48"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10"/>
      <c r="B13" s="213"/>
      <c r="C13" s="213"/>
      <c r="D13" s="213"/>
      <c r="E13" s="216"/>
      <c r="F13" s="213"/>
      <c r="G13" s="219"/>
      <c r="H13" s="222"/>
      <c r="I13" s="204"/>
      <c r="J13" s="225"/>
      <c r="K13" s="204">
        <f>IF(NOT(ISERROR(MATCH(J13,_xlfn.ANCHORARRAY(E24),0))),I26&amp;"Por favor no seleccionar los criterios de impacto",J13)</f>
        <v>0</v>
      </c>
      <c r="L13" s="222"/>
      <c r="M13" s="204"/>
      <c r="N13" s="207"/>
      <c r="O13" s="6">
        <v>4</v>
      </c>
      <c r="P13" s="137" t="s">
        <v>223</v>
      </c>
      <c r="Q13" s="51" t="str">
        <f t="shared" ref="Q13:Q15" si="5">IF(OR(R13="Preventivo",R13="Detectivo"),"Probabilidad",IF(R13="Correctivo","Impacto",""))</f>
        <v>Probabilidad</v>
      </c>
      <c r="R13" s="52" t="s">
        <v>14</v>
      </c>
      <c r="S13" s="52" t="s">
        <v>9</v>
      </c>
      <c r="T13" s="53" t="str">
        <f t="shared" si="0"/>
        <v>40%</v>
      </c>
      <c r="U13" s="52" t="s">
        <v>19</v>
      </c>
      <c r="V13" s="52" t="s">
        <v>22</v>
      </c>
      <c r="W13" s="52" t="s">
        <v>119</v>
      </c>
      <c r="X13" s="24">
        <f t="shared" ref="X13:X15" si="6">IFERROR(IF(AND(Q12="Probabilidad",Q13="Probabilidad"),(Z12-(+Z12*T13)),IF(AND(Q12="Impacto",Q13="Probabilidad"),(Z11-(+Z11*T13)),IF(Q13="Impacto",Z12,""))),"")</f>
        <v>6.0479999999999999E-2</v>
      </c>
      <c r="Y13" s="54" t="str">
        <f t="shared" si="1"/>
        <v>Muy Baja</v>
      </c>
      <c r="Z13" s="55">
        <f t="shared" si="2"/>
        <v>6.0479999999999999E-2</v>
      </c>
      <c r="AA13" s="54" t="str">
        <f t="shared" si="3"/>
        <v>Menor</v>
      </c>
      <c r="AB13" s="55">
        <f t="shared" ref="AB13:AB15" si="7">IFERROR(IF(AND(Q12="Impacto",Q13="Impacto"),(AB12-(+AB12*T13)),IF(AND(Q12="Probabilidad",Q13="Impacto"),(AB11-(+AB11*T13)),IF(Q13="Probabilidad",AB12,""))),"")</f>
        <v>0.4</v>
      </c>
      <c r="AC13" s="56"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57" t="s">
        <v>136</v>
      </c>
      <c r="AE13" s="139" t="s">
        <v>292</v>
      </c>
      <c r="AF13" s="139" t="s">
        <v>228</v>
      </c>
      <c r="AG13" s="144" t="s">
        <v>232</v>
      </c>
      <c r="AH13" s="59">
        <v>45291</v>
      </c>
      <c r="AI13" s="139" t="s">
        <v>305</v>
      </c>
      <c r="AJ13" s="48" t="s">
        <v>40</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10"/>
      <c r="B14" s="213"/>
      <c r="C14" s="213"/>
      <c r="D14" s="213"/>
      <c r="E14" s="216"/>
      <c r="F14" s="213"/>
      <c r="G14" s="219"/>
      <c r="H14" s="222"/>
      <c r="I14" s="204"/>
      <c r="J14" s="225"/>
      <c r="K14" s="204">
        <f>IF(NOT(ISERROR(MATCH(J14,_xlfn.ANCHORARRAY(E25),0))),I27&amp;"Por favor no seleccionar los criterios de impacto",J14)</f>
        <v>0</v>
      </c>
      <c r="L14" s="222"/>
      <c r="M14" s="204"/>
      <c r="N14" s="207"/>
      <c r="O14" s="6">
        <v>5</v>
      </c>
      <c r="P14" s="137" t="s">
        <v>293</v>
      </c>
      <c r="Q14" s="51" t="str">
        <f t="shared" si="5"/>
        <v>Probabilidad</v>
      </c>
      <c r="R14" s="52" t="s">
        <v>14</v>
      </c>
      <c r="S14" s="52" t="s">
        <v>9</v>
      </c>
      <c r="T14" s="53" t="str">
        <f t="shared" si="0"/>
        <v>40%</v>
      </c>
      <c r="U14" s="52" t="s">
        <v>19</v>
      </c>
      <c r="V14" s="52" t="s">
        <v>22</v>
      </c>
      <c r="W14" s="52" t="s">
        <v>119</v>
      </c>
      <c r="X14" s="24">
        <f t="shared" si="6"/>
        <v>3.6288000000000001E-2</v>
      </c>
      <c r="Y14" s="54" t="str">
        <f t="shared" si="1"/>
        <v>Muy Baja</v>
      </c>
      <c r="Z14" s="55">
        <f t="shared" si="2"/>
        <v>3.6288000000000001E-2</v>
      </c>
      <c r="AA14" s="54" t="str">
        <f t="shared" si="3"/>
        <v>Menor</v>
      </c>
      <c r="AB14" s="55">
        <f t="shared" si="7"/>
        <v>0.4</v>
      </c>
      <c r="AC14" s="56" t="str">
        <f t="shared" si="4"/>
        <v>Bajo</v>
      </c>
      <c r="AD14" s="57" t="s">
        <v>136</v>
      </c>
      <c r="AE14" s="139" t="s">
        <v>294</v>
      </c>
      <c r="AF14" s="139" t="s">
        <v>231</v>
      </c>
      <c r="AG14" s="144" t="s">
        <v>232</v>
      </c>
      <c r="AH14" s="59">
        <v>45291</v>
      </c>
      <c r="AI14" s="139" t="s">
        <v>306</v>
      </c>
      <c r="AJ14" s="48" t="s">
        <v>41</v>
      </c>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11"/>
      <c r="B15" s="214"/>
      <c r="C15" s="214"/>
      <c r="D15" s="214"/>
      <c r="E15" s="217"/>
      <c r="F15" s="214"/>
      <c r="G15" s="220"/>
      <c r="H15" s="223"/>
      <c r="I15" s="205"/>
      <c r="J15" s="226"/>
      <c r="K15" s="205">
        <f>IF(NOT(ISERROR(MATCH(J15,_xlfn.ANCHORARRAY(E26),0))),I28&amp;"Por favor no seleccionar los criterios de impacto",J15)</f>
        <v>0</v>
      </c>
      <c r="L15" s="223"/>
      <c r="M15" s="205"/>
      <c r="N15" s="208"/>
      <c r="O15" s="6">
        <v>6</v>
      </c>
      <c r="P15" s="49"/>
      <c r="Q15" s="51" t="str">
        <f t="shared" si="5"/>
        <v/>
      </c>
      <c r="R15" s="52"/>
      <c r="S15" s="52"/>
      <c r="T15" s="53" t="str">
        <f t="shared" si="0"/>
        <v/>
      </c>
      <c r="U15" s="52"/>
      <c r="V15" s="52"/>
      <c r="W15" s="52"/>
      <c r="X15" s="24" t="str">
        <f t="shared" si="6"/>
        <v/>
      </c>
      <c r="Y15" s="54" t="str">
        <f t="shared" si="1"/>
        <v/>
      </c>
      <c r="Z15" s="55" t="str">
        <f t="shared" si="2"/>
        <v/>
      </c>
      <c r="AA15" s="54" t="str">
        <f t="shared" si="3"/>
        <v/>
      </c>
      <c r="AB15" s="55" t="str">
        <f t="shared" si="7"/>
        <v/>
      </c>
      <c r="AC15" s="56" t="str">
        <f t="shared" si="4"/>
        <v/>
      </c>
      <c r="AD15" s="57"/>
      <c r="AE15" s="58"/>
      <c r="AF15" s="48"/>
      <c r="AG15" s="59"/>
      <c r="AH15" s="59"/>
      <c r="AI15" s="58"/>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9">
        <v>2</v>
      </c>
      <c r="B16" s="212" t="s">
        <v>133</v>
      </c>
      <c r="C16" s="212" t="s">
        <v>233</v>
      </c>
      <c r="D16" s="212" t="s">
        <v>234</v>
      </c>
      <c r="E16" s="215" t="s">
        <v>235</v>
      </c>
      <c r="F16" s="212" t="s">
        <v>126</v>
      </c>
      <c r="G16" s="218">
        <v>20</v>
      </c>
      <c r="H16" s="221" t="str">
        <f>IF(G16&lt;=0,"",IF(G16&lt;=2,"Muy Baja",IF(G16&lt;=24,"Baja",IF(G16&lt;=500,"Media",IF(G16&lt;=5000,"Alta","Muy Alta")))))</f>
        <v>Baja</v>
      </c>
      <c r="I16" s="203">
        <f>IF(H16="","",IF(H16="Muy Baja",0.2,IF(H16="Baja",0.4,IF(H16="Media",0.6,IF(H16="Alta",0.8,IF(H16="Muy Alta",1,))))))</f>
        <v>0.4</v>
      </c>
      <c r="J16" s="224" t="s">
        <v>155</v>
      </c>
      <c r="K16" s="203"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21" t="str">
        <f>IF(OR(K16='Tabla Impacto'!$C$11,K16='Tabla Impacto'!$D$11),"Leve",IF(OR(K16='Tabla Impacto'!$C$12,K16='Tabla Impacto'!$D$12),"Menor",IF(OR(K16='Tabla Impacto'!$C$13,K16='Tabla Impacto'!$D$13),"Moderado",IF(OR(K16='Tabla Impacto'!$C$14,K16='Tabla Impacto'!$D$14),"Mayor",IF(OR(K16='Tabla Impacto'!$C$15,K16='Tabla Impacto'!$D$15),"Catastrófico","")))))</f>
        <v>Moderado</v>
      </c>
      <c r="M16" s="203">
        <f>IF(L16="","",IF(L16="Leve",0.2,IF(L16="Menor",0.4,IF(L16="Moderado",0.6,IF(L16="Mayor",0.8,IF(L16="Catastrófico",1,))))))</f>
        <v>0.6</v>
      </c>
      <c r="N16" s="20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
        <v>1</v>
      </c>
      <c r="P16" s="145" t="s">
        <v>236</v>
      </c>
      <c r="Q16" s="51" t="str">
        <f>IF(OR(R16="Preventivo",R16="Detectivo"),"Probabilidad",IF(R16="Correctivo","Impacto",""))</f>
        <v>Probabilidad</v>
      </c>
      <c r="R16" s="52" t="s">
        <v>14</v>
      </c>
      <c r="S16" s="52" t="s">
        <v>9</v>
      </c>
      <c r="T16" s="53" t="str">
        <f>IF(AND(R16="Preventivo",S16="Automático"),"50%",IF(AND(R16="Preventivo",S16="Manual"),"40%",IF(AND(R16="Detectivo",S16="Automático"),"40%",IF(AND(R16="Detectivo",S16="Manual"),"30%",IF(AND(R16="Correctivo",S16="Automático"),"35%",IF(AND(R16="Correctivo",S16="Manual"),"25%",""))))))</f>
        <v>40%</v>
      </c>
      <c r="U16" s="52" t="s">
        <v>19</v>
      </c>
      <c r="V16" s="52" t="s">
        <v>22</v>
      </c>
      <c r="W16" s="52" t="s">
        <v>119</v>
      </c>
      <c r="X16" s="24">
        <f>IFERROR(IF(Q16="Probabilidad",(I16-(+I16*T16)),IF(Q16="Impacto",I16,"")),"")</f>
        <v>0.24</v>
      </c>
      <c r="Y16" s="54" t="str">
        <f>IFERROR(IF(X16="","",IF(X16&lt;=0.2,"Muy Baja",IF(X16&lt;=0.4,"Baja",IF(X16&lt;=0.6,"Media",IF(X16&lt;=0.8,"Alta","Muy Alta"))))),"")</f>
        <v>Baja</v>
      </c>
      <c r="Z16" s="55">
        <f>+X16</f>
        <v>0.24</v>
      </c>
      <c r="AA16" s="54" t="str">
        <f>IFERROR(IF(AB16="","",IF(AB16&lt;=0.2,"Leve",IF(AB16&lt;=0.4,"Menor",IF(AB16&lt;=0.6,"Moderado",IF(AB16&lt;=0.8,"Mayor","Catastrófico"))))),"")</f>
        <v>Moderado</v>
      </c>
      <c r="AB16" s="55">
        <f>IFERROR(IF(Q16="Impacto",(M16-(+M16*T16)),IF(Q16="Probabilidad",M16,"")),"")</f>
        <v>0.6</v>
      </c>
      <c r="AC16" s="56"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57" t="s">
        <v>136</v>
      </c>
      <c r="AE16" s="139" t="s">
        <v>239</v>
      </c>
      <c r="AF16" s="139" t="s">
        <v>240</v>
      </c>
      <c r="AG16" s="139" t="s">
        <v>241</v>
      </c>
      <c r="AH16" s="59">
        <v>45291</v>
      </c>
      <c r="AI16" s="139" t="s">
        <v>307</v>
      </c>
      <c r="AJ16" s="48"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10"/>
      <c r="B17" s="213"/>
      <c r="C17" s="213"/>
      <c r="D17" s="213"/>
      <c r="E17" s="216"/>
      <c r="F17" s="213"/>
      <c r="G17" s="219"/>
      <c r="H17" s="222"/>
      <c r="I17" s="204"/>
      <c r="J17" s="225"/>
      <c r="K17" s="204">
        <f>IF(NOT(ISERROR(MATCH(J17,_xlfn.ANCHORARRAY(E28),0))),I30&amp;"Por favor no seleccionar los criterios de impacto",J17)</f>
        <v>0</v>
      </c>
      <c r="L17" s="222"/>
      <c r="M17" s="204"/>
      <c r="N17" s="207"/>
      <c r="O17" s="6">
        <v>2</v>
      </c>
      <c r="P17" s="145" t="s">
        <v>237</v>
      </c>
      <c r="Q17" s="51" t="str">
        <f>IF(OR(R17="Preventivo",R17="Detectivo"),"Probabilidad",IF(R17="Correctivo","Impacto",""))</f>
        <v>Probabilidad</v>
      </c>
      <c r="R17" s="52" t="s">
        <v>14</v>
      </c>
      <c r="S17" s="52" t="s">
        <v>9</v>
      </c>
      <c r="T17" s="53" t="str">
        <f t="shared" ref="T17:T21" si="8">IF(AND(R17="Preventivo",S17="Automático"),"50%",IF(AND(R17="Preventivo",S17="Manual"),"40%",IF(AND(R17="Detectivo",S17="Automático"),"40%",IF(AND(R17="Detectivo",S17="Manual"),"30%",IF(AND(R17="Correctivo",S17="Automático"),"35%",IF(AND(R17="Correctivo",S17="Manual"),"25%",""))))))</f>
        <v>40%</v>
      </c>
      <c r="U17" s="52" t="s">
        <v>19</v>
      </c>
      <c r="V17" s="52" t="s">
        <v>22</v>
      </c>
      <c r="W17" s="52" t="s">
        <v>119</v>
      </c>
      <c r="X17" s="24">
        <f>IFERROR(IF(AND(Q16="Probabilidad",Q17="Probabilidad"),(Z16-(+Z16*T17)),IF(Q17="Probabilidad",(I16-(+I16*T17)),IF(Q17="Impacto",Z16,""))),"")</f>
        <v>0.14399999999999999</v>
      </c>
      <c r="Y17" s="54" t="str">
        <f t="shared" si="1"/>
        <v>Muy Baja</v>
      </c>
      <c r="Z17" s="55">
        <f t="shared" ref="Z17:Z21" si="9">+X17</f>
        <v>0.14399999999999999</v>
      </c>
      <c r="AA17" s="54" t="str">
        <f t="shared" si="3"/>
        <v>Menor</v>
      </c>
      <c r="AB17" s="55">
        <f>IFERROR(IF(AND(Q16="Impacto",Q17="Impacto"),(AB10-(+AB10*T17)),IF(Q17="Impacto",($M$16-(+$M$16*T17)),IF(Q17="Probabilidad",AB10,""))),"")</f>
        <v>0.4</v>
      </c>
      <c r="AC17" s="56"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57" t="s">
        <v>136</v>
      </c>
      <c r="AE17" s="139" t="s">
        <v>295</v>
      </c>
      <c r="AF17" s="139" t="s">
        <v>242</v>
      </c>
      <c r="AG17" s="144" t="s">
        <v>243</v>
      </c>
      <c r="AH17" s="59">
        <v>45291</v>
      </c>
      <c r="AI17" s="139" t="s">
        <v>308</v>
      </c>
      <c r="AJ17" s="48"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10"/>
      <c r="B18" s="213"/>
      <c r="C18" s="213"/>
      <c r="D18" s="213"/>
      <c r="E18" s="216"/>
      <c r="F18" s="213"/>
      <c r="G18" s="219"/>
      <c r="H18" s="222"/>
      <c r="I18" s="204"/>
      <c r="J18" s="225"/>
      <c r="K18" s="204">
        <f>IF(NOT(ISERROR(MATCH(J18,_xlfn.ANCHORARRAY(E29),0))),I31&amp;"Por favor no seleccionar los criterios de impacto",J18)</f>
        <v>0</v>
      </c>
      <c r="L18" s="222"/>
      <c r="M18" s="204"/>
      <c r="N18" s="207"/>
      <c r="O18" s="6">
        <v>3</v>
      </c>
      <c r="P18" s="146" t="s">
        <v>296</v>
      </c>
      <c r="Q18" s="51" t="str">
        <f>IF(OR(R18="Preventivo",R18="Detectivo"),"Probabilidad",IF(R18="Correctivo","Impacto",""))</f>
        <v>Probabilidad</v>
      </c>
      <c r="R18" s="52" t="s">
        <v>14</v>
      </c>
      <c r="S18" s="52" t="s">
        <v>9</v>
      </c>
      <c r="T18" s="53" t="str">
        <f t="shared" si="8"/>
        <v>40%</v>
      </c>
      <c r="U18" s="52" t="s">
        <v>19</v>
      </c>
      <c r="V18" s="52" t="s">
        <v>22</v>
      </c>
      <c r="W18" s="52" t="s">
        <v>119</v>
      </c>
      <c r="X18" s="24">
        <f>IFERROR(IF(AND(Q17="Probabilidad",Q18="Probabilidad"),(Z17-(+Z17*T18)),IF(AND(Q17="Impacto",Q18="Probabilidad"),(Z16-(+Z16*T18)),IF(Q18="Impacto",Z17,""))),"")</f>
        <v>8.6399999999999991E-2</v>
      </c>
      <c r="Y18" s="54" t="str">
        <f t="shared" si="1"/>
        <v>Muy Baja</v>
      </c>
      <c r="Z18" s="55">
        <f t="shared" si="9"/>
        <v>8.6399999999999991E-2</v>
      </c>
      <c r="AA18" s="54" t="str">
        <f t="shared" si="3"/>
        <v>Menor</v>
      </c>
      <c r="AB18" s="55">
        <f>IFERROR(IF(AND(Q17="Impacto",Q18="Impacto"),(AB17-(+AB17*T18)),IF(AND(Q17="Probabilidad",Q18="Impacto"),(AB16-(+AB16*T18)),IF(Q18="Probabilidad",AB17,""))),"")</f>
        <v>0.4</v>
      </c>
      <c r="AC18" s="56" t="str">
        <f t="shared" si="10"/>
        <v>Bajo</v>
      </c>
      <c r="AD18" s="57" t="s">
        <v>136</v>
      </c>
      <c r="AE18" s="139" t="s">
        <v>244</v>
      </c>
      <c r="AF18" s="139" t="s">
        <v>245</v>
      </c>
      <c r="AG18" s="144" t="s">
        <v>243</v>
      </c>
      <c r="AH18" s="59">
        <v>45291</v>
      </c>
      <c r="AI18" s="139" t="s">
        <v>309</v>
      </c>
      <c r="AJ18" s="48"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10"/>
      <c r="B19" s="213"/>
      <c r="C19" s="213"/>
      <c r="D19" s="213"/>
      <c r="E19" s="216"/>
      <c r="F19" s="213"/>
      <c r="G19" s="219"/>
      <c r="H19" s="222"/>
      <c r="I19" s="204"/>
      <c r="J19" s="225"/>
      <c r="K19" s="204">
        <f>IF(NOT(ISERROR(MATCH(J19,_xlfn.ANCHORARRAY(E30),0))),I32&amp;"Por favor no seleccionar los criterios de impacto",J19)</f>
        <v>0</v>
      </c>
      <c r="L19" s="222"/>
      <c r="M19" s="204"/>
      <c r="N19" s="207"/>
      <c r="O19" s="6">
        <v>4</v>
      </c>
      <c r="P19" s="146" t="s">
        <v>297</v>
      </c>
      <c r="Q19" s="51" t="str">
        <f t="shared" ref="Q19:Q21" si="11">IF(OR(R19="Preventivo",R19="Detectivo"),"Probabilidad",IF(R19="Correctivo","Impacto",""))</f>
        <v>Probabilidad</v>
      </c>
      <c r="R19" s="52" t="s">
        <v>15</v>
      </c>
      <c r="S19" s="52" t="s">
        <v>9</v>
      </c>
      <c r="T19" s="53" t="str">
        <f t="shared" si="8"/>
        <v>30%</v>
      </c>
      <c r="U19" s="52" t="s">
        <v>19</v>
      </c>
      <c r="V19" s="52" t="s">
        <v>22</v>
      </c>
      <c r="W19" s="52" t="s">
        <v>119</v>
      </c>
      <c r="X19" s="24">
        <f t="shared" ref="X19:X21" si="12">IFERROR(IF(AND(Q18="Probabilidad",Q19="Probabilidad"),(Z18-(+Z18*T19)),IF(AND(Q18="Impacto",Q19="Probabilidad"),(Z17-(+Z17*T19)),IF(Q19="Impacto",Z18,""))),"")</f>
        <v>6.0479999999999992E-2</v>
      </c>
      <c r="Y19" s="54" t="str">
        <f t="shared" si="1"/>
        <v>Muy Baja</v>
      </c>
      <c r="Z19" s="55">
        <f t="shared" si="9"/>
        <v>6.0479999999999992E-2</v>
      </c>
      <c r="AA19" s="54" t="str">
        <f t="shared" si="3"/>
        <v>Menor</v>
      </c>
      <c r="AB19" s="55">
        <f t="shared" ref="AB19:AB21" si="13">IFERROR(IF(AND(Q18="Impacto",Q19="Impacto"),(AB18-(+AB18*T19)),IF(AND(Q18="Probabilidad",Q19="Impacto"),(AB17-(+AB17*T19)),IF(Q19="Probabilidad",AB18,""))),"")</f>
        <v>0.4</v>
      </c>
      <c r="AC19" s="56"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Bajo</v>
      </c>
      <c r="AD19" s="57" t="s">
        <v>136</v>
      </c>
      <c r="AE19" s="139" t="s">
        <v>246</v>
      </c>
      <c r="AF19" s="142" t="s">
        <v>247</v>
      </c>
      <c r="AG19" s="144" t="s">
        <v>232</v>
      </c>
      <c r="AH19" s="59">
        <v>45291</v>
      </c>
      <c r="AI19" s="139" t="s">
        <v>310</v>
      </c>
      <c r="AJ19" s="48"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10"/>
      <c r="B20" s="213"/>
      <c r="C20" s="213"/>
      <c r="D20" s="213"/>
      <c r="E20" s="216"/>
      <c r="F20" s="213"/>
      <c r="G20" s="219"/>
      <c r="H20" s="222"/>
      <c r="I20" s="204"/>
      <c r="J20" s="225"/>
      <c r="K20" s="204">
        <f>IF(NOT(ISERROR(MATCH(J20,_xlfn.ANCHORARRAY(E31),0))),I33&amp;"Por favor no seleccionar los criterios de impacto",J20)</f>
        <v>0</v>
      </c>
      <c r="L20" s="222"/>
      <c r="M20" s="204"/>
      <c r="N20" s="207"/>
      <c r="O20" s="6">
        <v>5</v>
      </c>
      <c r="P20" s="146" t="s">
        <v>238</v>
      </c>
      <c r="Q20" s="51" t="str">
        <f t="shared" si="11"/>
        <v>Probabilidad</v>
      </c>
      <c r="R20" s="52" t="s">
        <v>14</v>
      </c>
      <c r="S20" s="52" t="s">
        <v>9</v>
      </c>
      <c r="T20" s="53" t="str">
        <f t="shared" si="8"/>
        <v>40%</v>
      </c>
      <c r="U20" s="52" t="s">
        <v>19</v>
      </c>
      <c r="V20" s="52" t="s">
        <v>22</v>
      </c>
      <c r="W20" s="52" t="s">
        <v>119</v>
      </c>
      <c r="X20" s="24">
        <f t="shared" si="12"/>
        <v>3.6287999999999994E-2</v>
      </c>
      <c r="Y20" s="54" t="str">
        <f t="shared" si="1"/>
        <v>Muy Baja</v>
      </c>
      <c r="Z20" s="55">
        <f t="shared" si="9"/>
        <v>3.6287999999999994E-2</v>
      </c>
      <c r="AA20" s="54" t="str">
        <f t="shared" si="3"/>
        <v>Menor</v>
      </c>
      <c r="AB20" s="55">
        <f t="shared" si="13"/>
        <v>0.4</v>
      </c>
      <c r="AC20" s="56"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Bajo</v>
      </c>
      <c r="AD20" s="57" t="s">
        <v>136</v>
      </c>
      <c r="AE20" s="139" t="s">
        <v>248</v>
      </c>
      <c r="AF20" s="142" t="s">
        <v>247</v>
      </c>
      <c r="AG20" s="144" t="s">
        <v>243</v>
      </c>
      <c r="AH20" s="59">
        <v>45291</v>
      </c>
      <c r="AI20" s="139" t="s">
        <v>311</v>
      </c>
      <c r="AJ20" s="48" t="s">
        <v>40</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11"/>
      <c r="B21" s="214"/>
      <c r="C21" s="214"/>
      <c r="D21" s="214"/>
      <c r="E21" s="217"/>
      <c r="F21" s="214"/>
      <c r="G21" s="220"/>
      <c r="H21" s="223"/>
      <c r="I21" s="205"/>
      <c r="J21" s="226"/>
      <c r="K21" s="205">
        <f>IF(NOT(ISERROR(MATCH(J21,_xlfn.ANCHORARRAY(E32),0))),I34&amp;"Por favor no seleccionar los criterios de impacto",J21)</f>
        <v>0</v>
      </c>
      <c r="L21" s="223"/>
      <c r="M21" s="205"/>
      <c r="N21" s="208"/>
      <c r="O21" s="6">
        <v>6</v>
      </c>
      <c r="P21" s="49"/>
      <c r="Q21" s="51" t="str">
        <f t="shared" si="11"/>
        <v/>
      </c>
      <c r="R21" s="52"/>
      <c r="S21" s="52"/>
      <c r="T21" s="53" t="str">
        <f t="shared" si="8"/>
        <v/>
      </c>
      <c r="U21" s="52"/>
      <c r="V21" s="52"/>
      <c r="W21" s="52"/>
      <c r="X21" s="24" t="str">
        <f t="shared" si="12"/>
        <v/>
      </c>
      <c r="Y21" s="54" t="str">
        <f t="shared" si="1"/>
        <v/>
      </c>
      <c r="Z21" s="55" t="str">
        <f t="shared" si="9"/>
        <v/>
      </c>
      <c r="AA21" s="54" t="str">
        <f t="shared" si="3"/>
        <v/>
      </c>
      <c r="AB21" s="55" t="str">
        <f t="shared" si="13"/>
        <v/>
      </c>
      <c r="AC21" s="56" t="str">
        <f t="shared" si="14"/>
        <v/>
      </c>
      <c r="AD21" s="57"/>
      <c r="AE21" s="58"/>
      <c r="AF21" s="48"/>
      <c r="AG21" s="59"/>
      <c r="AH21" s="59"/>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9">
        <v>3</v>
      </c>
      <c r="B22" s="212" t="s">
        <v>133</v>
      </c>
      <c r="C22" s="212" t="s">
        <v>249</v>
      </c>
      <c r="D22" s="212" t="s">
        <v>250</v>
      </c>
      <c r="E22" s="215" t="s">
        <v>251</v>
      </c>
      <c r="F22" s="212" t="s">
        <v>125</v>
      </c>
      <c r="G22" s="218">
        <v>20</v>
      </c>
      <c r="H22" s="221" t="str">
        <f>IF(G22&lt;=0,"",IF(G22&lt;=2,"Muy Baja",IF(G22&lt;=24,"Baja",IF(G22&lt;=500,"Media",IF(G22&lt;=5000,"Alta","Muy Alta")))))</f>
        <v>Baja</v>
      </c>
      <c r="I22" s="203">
        <f>IF(H22="","",IF(H22="Muy Baja",0.2,IF(H22="Baja",0.4,IF(H22="Media",0.6,IF(H22="Alta",0.8,IF(H22="Muy Alta",1,))))))</f>
        <v>0.4</v>
      </c>
      <c r="J22" s="224" t="s">
        <v>146</v>
      </c>
      <c r="K22" s="203" t="str">
        <f>IF(NOT(ISERROR(MATCH(J22,'Tabla Impacto'!$B$221:$B$223,0))),'Tabla Impacto'!$F$223&amp;"Por favor no seleccionar los criterios de impacto(Afectación Económica o presupuestal y Pérdida Reputacional)",J22)</f>
        <v xml:space="preserve">     Afectación menor a 10 SMLMV .</v>
      </c>
      <c r="L22" s="221" t="str">
        <f>IF(OR(K22='Tabla Impacto'!$C$11,K22='Tabla Impacto'!$D$11),"Leve",IF(OR(K22='Tabla Impacto'!$C$12,K22='Tabla Impacto'!$D$12),"Menor",IF(OR(K22='Tabla Impacto'!$C$13,K22='Tabla Impacto'!$D$13),"Moderado",IF(OR(K22='Tabla Impacto'!$C$14,K22='Tabla Impacto'!$D$14),"Mayor",IF(OR(K22='Tabla Impacto'!$C$15,K22='Tabla Impacto'!$D$15),"Catastrófico","")))))</f>
        <v>Leve</v>
      </c>
      <c r="M22" s="203">
        <f>IF(L22="","",IF(L22="Leve",0.2,IF(L22="Menor",0.4,IF(L22="Moderado",0.6,IF(L22="Mayor",0.8,IF(L22="Catastrófico",1,))))))</f>
        <v>0.2</v>
      </c>
      <c r="N22" s="206"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6">
        <v>1</v>
      </c>
      <c r="P22" s="145" t="s">
        <v>298</v>
      </c>
      <c r="Q22" s="51" t="str">
        <f>IF(OR(R22="Preventivo",R22="Detectivo"),"Probabilidad",IF(R22="Correctivo","Impacto",""))</f>
        <v>Probabilidad</v>
      </c>
      <c r="R22" s="52" t="s">
        <v>14</v>
      </c>
      <c r="S22" s="52" t="s">
        <v>9</v>
      </c>
      <c r="T22" s="53" t="str">
        <f>IF(AND(R22="Preventivo",S22="Automático"),"50%",IF(AND(R22="Preventivo",S22="Manual"),"40%",IF(AND(R22="Detectivo",S22="Automático"),"40%",IF(AND(R22="Detectivo",S22="Manual"),"30%",IF(AND(R22="Correctivo",S22="Automático"),"35%",IF(AND(R22="Correctivo",S22="Manual"),"25%",""))))))</f>
        <v>40%</v>
      </c>
      <c r="U22" s="52" t="s">
        <v>19</v>
      </c>
      <c r="V22" s="52" t="s">
        <v>22</v>
      </c>
      <c r="W22" s="52" t="s">
        <v>119</v>
      </c>
      <c r="X22" s="24">
        <f>IFERROR(IF(Q22="Probabilidad",(I22-(+I22*T22)),IF(Q22="Impacto",I22,"")),"")</f>
        <v>0.24</v>
      </c>
      <c r="Y22" s="54" t="str">
        <f>IFERROR(IF(X22="","",IF(X22&lt;=0.2,"Muy Baja",IF(X22&lt;=0.4,"Baja",IF(X22&lt;=0.6,"Media",IF(X22&lt;=0.8,"Alta","Muy Alta"))))),"")</f>
        <v>Baja</v>
      </c>
      <c r="Z22" s="55">
        <f>+X22</f>
        <v>0.24</v>
      </c>
      <c r="AA22" s="54" t="str">
        <f>IFERROR(IF(AB22="","",IF(AB22&lt;=0.2,"Leve",IF(AB22&lt;=0.4,"Menor",IF(AB22&lt;=0.6,"Moderado",IF(AB22&lt;=0.8,"Mayor","Catastrófico"))))),"")</f>
        <v>Leve</v>
      </c>
      <c r="AB22" s="55">
        <f>IFERROR(IF(Q22="Impacto",(M22-(+M22*T22)),IF(Q22="Probabilidad",M22,"")),"")</f>
        <v>0.2</v>
      </c>
      <c r="AC22" s="56"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57" t="s">
        <v>136</v>
      </c>
      <c r="AE22" s="139" t="s">
        <v>255</v>
      </c>
      <c r="AF22" s="139" t="s">
        <v>256</v>
      </c>
      <c r="AG22" s="144" t="s">
        <v>243</v>
      </c>
      <c r="AH22" s="59">
        <v>45291</v>
      </c>
      <c r="AI22" s="139" t="s">
        <v>312</v>
      </c>
      <c r="AJ22" s="48"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10"/>
      <c r="B23" s="213"/>
      <c r="C23" s="213"/>
      <c r="D23" s="213"/>
      <c r="E23" s="216"/>
      <c r="F23" s="213"/>
      <c r="G23" s="219"/>
      <c r="H23" s="222"/>
      <c r="I23" s="204"/>
      <c r="J23" s="225"/>
      <c r="K23" s="204">
        <f t="shared" ref="K23:K27" si="15">IF(NOT(ISERROR(MATCH(J23,_xlfn.ANCHORARRAY(E34),0))),I36&amp;"Por favor no seleccionar los criterios de impacto",J23)</f>
        <v>0</v>
      </c>
      <c r="L23" s="222"/>
      <c r="M23" s="204"/>
      <c r="N23" s="207"/>
      <c r="O23" s="6">
        <v>2</v>
      </c>
      <c r="P23" s="145" t="s">
        <v>299</v>
      </c>
      <c r="Q23" s="51" t="str">
        <f>IF(OR(R23="Preventivo",R23="Detectivo"),"Probabilidad",IF(R23="Correctivo","Impacto",""))</f>
        <v>Probabilidad</v>
      </c>
      <c r="R23" s="52" t="s">
        <v>15</v>
      </c>
      <c r="S23" s="52" t="s">
        <v>9</v>
      </c>
      <c r="T23" s="53" t="str">
        <f t="shared" ref="T23:T27" si="16">IF(AND(R23="Preventivo",S23="Automático"),"50%",IF(AND(R23="Preventivo",S23="Manual"),"40%",IF(AND(R23="Detectivo",S23="Automático"),"40%",IF(AND(R23="Detectivo",S23="Manual"),"30%",IF(AND(R23="Correctivo",S23="Automático"),"35%",IF(AND(R23="Correctivo",S23="Manual"),"25%",""))))))</f>
        <v>30%</v>
      </c>
      <c r="U23" s="52" t="s">
        <v>19</v>
      </c>
      <c r="V23" s="52" t="s">
        <v>23</v>
      </c>
      <c r="W23" s="52" t="s">
        <v>119</v>
      </c>
      <c r="X23" s="31">
        <f>IFERROR(IF(AND(Q22="Probabilidad",Q23="Probabilidad"),(Z22-(+Z22*T23)),IF(Q23="Probabilidad",(I22-(+I22*T23)),IF(Q23="Impacto",Z22,""))),"")</f>
        <v>0.16799999999999998</v>
      </c>
      <c r="Y23" s="54" t="str">
        <f t="shared" si="1"/>
        <v>Muy Baja</v>
      </c>
      <c r="Z23" s="55">
        <f t="shared" ref="Z23:Z27" si="17">+X23</f>
        <v>0.16799999999999998</v>
      </c>
      <c r="AA23" s="54" t="str">
        <f t="shared" si="3"/>
        <v>Moderado</v>
      </c>
      <c r="AB23" s="55">
        <f>IFERROR(IF(AND(Q22="Impacto",Q23="Impacto"),(AB16-(+AB16*T23)),IF(Q23="Impacto",($M$22-(+$M$22*T23)),IF(Q23="Probabilidad",AB16,""))),"")</f>
        <v>0.6</v>
      </c>
      <c r="AC23" s="56"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57" t="s">
        <v>136</v>
      </c>
      <c r="AE23" s="139" t="s">
        <v>290</v>
      </c>
      <c r="AF23" s="139" t="s">
        <v>291</v>
      </c>
      <c r="AG23" s="144" t="s">
        <v>232</v>
      </c>
      <c r="AH23" s="59">
        <v>45291</v>
      </c>
      <c r="AI23" s="139" t="s">
        <v>313</v>
      </c>
      <c r="AJ23" s="48" t="s">
        <v>40</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10"/>
      <c r="B24" s="213"/>
      <c r="C24" s="213"/>
      <c r="D24" s="213"/>
      <c r="E24" s="216"/>
      <c r="F24" s="213"/>
      <c r="G24" s="219"/>
      <c r="H24" s="222"/>
      <c r="I24" s="204"/>
      <c r="J24" s="225"/>
      <c r="K24" s="204">
        <f t="shared" si="15"/>
        <v>0</v>
      </c>
      <c r="L24" s="222"/>
      <c r="M24" s="204"/>
      <c r="N24" s="207"/>
      <c r="O24" s="6">
        <v>3</v>
      </c>
      <c r="P24" s="147" t="s">
        <v>252</v>
      </c>
      <c r="Q24" s="51" t="str">
        <f>IF(OR(R24="Preventivo",R24="Detectivo"),"Probabilidad",IF(R24="Correctivo","Impacto",""))</f>
        <v>Probabilidad</v>
      </c>
      <c r="R24" s="52" t="s">
        <v>14</v>
      </c>
      <c r="S24" s="52" t="s">
        <v>9</v>
      </c>
      <c r="T24" s="53" t="str">
        <f t="shared" si="16"/>
        <v>40%</v>
      </c>
      <c r="U24" s="52" t="s">
        <v>19</v>
      </c>
      <c r="V24" s="52" t="s">
        <v>22</v>
      </c>
      <c r="W24" s="52" t="s">
        <v>119</v>
      </c>
      <c r="X24" s="24">
        <f>IFERROR(IF(AND(Q23="Probabilidad",Q24="Probabilidad"),(Z23-(+Z23*T24)),IF(AND(Q23="Impacto",Q24="Probabilidad"),(Z22-(+Z22*T24)),IF(Q24="Impacto",Z23,""))),"")</f>
        <v>0.10079999999999999</v>
      </c>
      <c r="Y24" s="54" t="str">
        <f t="shared" si="1"/>
        <v>Muy Baja</v>
      </c>
      <c r="Z24" s="55">
        <f t="shared" si="17"/>
        <v>0.10079999999999999</v>
      </c>
      <c r="AA24" s="54" t="str">
        <f t="shared" si="3"/>
        <v>Moderado</v>
      </c>
      <c r="AB24" s="55">
        <f>IFERROR(IF(AND(Q23="Impacto",Q24="Impacto"),(AB23-(+AB23*T24)),IF(AND(Q23="Probabilidad",Q24="Impacto"),(AB22-(+AB22*T24)),IF(Q24="Probabilidad",AB23,""))),"")</f>
        <v>0.6</v>
      </c>
      <c r="AC24" s="56" t="str">
        <f t="shared" si="18"/>
        <v>Moderado</v>
      </c>
      <c r="AD24" s="57" t="s">
        <v>136</v>
      </c>
      <c r="AE24" s="139" t="s">
        <v>257</v>
      </c>
      <c r="AF24" s="139" t="s">
        <v>258</v>
      </c>
      <c r="AG24" s="144" t="s">
        <v>259</v>
      </c>
      <c r="AH24" s="59">
        <v>45291</v>
      </c>
      <c r="AI24" s="139" t="s">
        <v>314</v>
      </c>
      <c r="AJ24" s="48" t="s">
        <v>40</v>
      </c>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10"/>
      <c r="B25" s="213"/>
      <c r="C25" s="213"/>
      <c r="D25" s="213"/>
      <c r="E25" s="216"/>
      <c r="F25" s="213"/>
      <c r="G25" s="219"/>
      <c r="H25" s="222"/>
      <c r="I25" s="204"/>
      <c r="J25" s="225"/>
      <c r="K25" s="204">
        <f t="shared" si="15"/>
        <v>0</v>
      </c>
      <c r="L25" s="222"/>
      <c r="M25" s="204"/>
      <c r="N25" s="207"/>
      <c r="O25" s="6">
        <v>4</v>
      </c>
      <c r="P25" s="145" t="s">
        <v>253</v>
      </c>
      <c r="Q25" s="51" t="str">
        <f t="shared" ref="Q25:Q27" si="19">IF(OR(R25="Preventivo",R25="Detectivo"),"Probabilidad",IF(R25="Correctivo","Impacto",""))</f>
        <v>Probabilidad</v>
      </c>
      <c r="R25" s="52" t="s">
        <v>14</v>
      </c>
      <c r="S25" s="52" t="s">
        <v>9</v>
      </c>
      <c r="T25" s="53" t="str">
        <f t="shared" si="16"/>
        <v>40%</v>
      </c>
      <c r="U25" s="52" t="s">
        <v>19</v>
      </c>
      <c r="V25" s="52" t="s">
        <v>23</v>
      </c>
      <c r="W25" s="52" t="s">
        <v>119</v>
      </c>
      <c r="X25" s="24">
        <f t="shared" ref="X25:X27" si="20">IFERROR(IF(AND(Q24="Probabilidad",Q25="Probabilidad"),(Z24-(+Z24*T25)),IF(AND(Q24="Impacto",Q25="Probabilidad"),(Z23-(+Z23*T25)),IF(Q25="Impacto",Z24,""))),"")</f>
        <v>6.0479999999999992E-2</v>
      </c>
      <c r="Y25" s="54" t="str">
        <f t="shared" si="1"/>
        <v>Muy Baja</v>
      </c>
      <c r="Z25" s="55">
        <f t="shared" si="17"/>
        <v>6.0479999999999992E-2</v>
      </c>
      <c r="AA25" s="54" t="str">
        <f t="shared" si="3"/>
        <v>Moderado</v>
      </c>
      <c r="AB25" s="55">
        <f t="shared" ref="AB25:AB27" si="21">IFERROR(IF(AND(Q24="Impacto",Q25="Impacto"),(AB24-(+AB24*T25)),IF(AND(Q24="Probabilidad",Q25="Impacto"),(AB23-(+AB23*T25)),IF(Q25="Probabilidad",AB24,""))),"")</f>
        <v>0.6</v>
      </c>
      <c r="AC25" s="5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57" t="s">
        <v>136</v>
      </c>
      <c r="AE25" s="139" t="s">
        <v>260</v>
      </c>
      <c r="AF25" s="139" t="s">
        <v>261</v>
      </c>
      <c r="AG25" s="144" t="s">
        <v>232</v>
      </c>
      <c r="AH25" s="59">
        <v>45291</v>
      </c>
      <c r="AI25" s="139" t="s">
        <v>315</v>
      </c>
      <c r="AJ25" s="48" t="s">
        <v>41</v>
      </c>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10"/>
      <c r="B26" s="213"/>
      <c r="C26" s="213"/>
      <c r="D26" s="213"/>
      <c r="E26" s="216"/>
      <c r="F26" s="213"/>
      <c r="G26" s="219"/>
      <c r="H26" s="222"/>
      <c r="I26" s="204"/>
      <c r="J26" s="225"/>
      <c r="K26" s="204">
        <f t="shared" si="15"/>
        <v>0</v>
      </c>
      <c r="L26" s="222"/>
      <c r="M26" s="204"/>
      <c r="N26" s="207"/>
      <c r="O26" s="6">
        <v>5</v>
      </c>
      <c r="P26" s="145" t="s">
        <v>254</v>
      </c>
      <c r="Q26" s="51" t="str">
        <f t="shared" si="19"/>
        <v>Probabilidad</v>
      </c>
      <c r="R26" s="52" t="s">
        <v>14</v>
      </c>
      <c r="S26" s="52" t="s">
        <v>9</v>
      </c>
      <c r="T26" s="53" t="str">
        <f t="shared" si="16"/>
        <v>40%</v>
      </c>
      <c r="U26" s="52" t="s">
        <v>19</v>
      </c>
      <c r="V26" s="52" t="s">
        <v>23</v>
      </c>
      <c r="W26" s="52" t="s">
        <v>119</v>
      </c>
      <c r="X26" s="24">
        <f t="shared" si="20"/>
        <v>3.6287999999999994E-2</v>
      </c>
      <c r="Y26" s="54" t="str">
        <f t="shared" si="1"/>
        <v>Muy Baja</v>
      </c>
      <c r="Z26" s="55">
        <f t="shared" si="17"/>
        <v>3.6287999999999994E-2</v>
      </c>
      <c r="AA26" s="54" t="str">
        <f t="shared" si="3"/>
        <v>Moderado</v>
      </c>
      <c r="AB26" s="55">
        <f t="shared" si="21"/>
        <v>0.6</v>
      </c>
      <c r="AC26" s="56"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57" t="s">
        <v>136</v>
      </c>
      <c r="AE26" s="140" t="s">
        <v>316</v>
      </c>
      <c r="AF26" s="140" t="s">
        <v>262</v>
      </c>
      <c r="AG26" s="143" t="s">
        <v>263</v>
      </c>
      <c r="AH26" s="59">
        <v>45291</v>
      </c>
      <c r="AI26" s="140" t="s">
        <v>317</v>
      </c>
      <c r="AJ26" s="48" t="s">
        <v>41</v>
      </c>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11"/>
      <c r="B27" s="214"/>
      <c r="C27" s="214"/>
      <c r="D27" s="214"/>
      <c r="E27" s="217"/>
      <c r="F27" s="214"/>
      <c r="G27" s="220"/>
      <c r="H27" s="223"/>
      <c r="I27" s="205"/>
      <c r="J27" s="226"/>
      <c r="K27" s="205">
        <f t="shared" si="15"/>
        <v>0</v>
      </c>
      <c r="L27" s="223"/>
      <c r="M27" s="205"/>
      <c r="N27" s="208"/>
      <c r="O27" s="6">
        <v>6</v>
      </c>
      <c r="P27" s="49"/>
      <c r="Q27" s="51" t="str">
        <f t="shared" si="19"/>
        <v/>
      </c>
      <c r="R27" s="52"/>
      <c r="S27" s="52"/>
      <c r="T27" s="53" t="str">
        <f t="shared" si="16"/>
        <v/>
      </c>
      <c r="U27" s="52"/>
      <c r="V27" s="52"/>
      <c r="W27" s="52"/>
      <c r="X27" s="24" t="str">
        <f t="shared" si="20"/>
        <v/>
      </c>
      <c r="Y27" s="54" t="str">
        <f t="shared" si="1"/>
        <v/>
      </c>
      <c r="Z27" s="55" t="str">
        <f t="shared" si="17"/>
        <v/>
      </c>
      <c r="AA27" s="54" t="str">
        <f t="shared" si="3"/>
        <v/>
      </c>
      <c r="AB27" s="55" t="str">
        <f t="shared" si="21"/>
        <v/>
      </c>
      <c r="AC27" s="56" t="str">
        <f t="shared" si="22"/>
        <v/>
      </c>
      <c r="AD27" s="57"/>
      <c r="AE27" s="58"/>
      <c r="AF27" s="48"/>
      <c r="AG27" s="59"/>
      <c r="AH27" s="59"/>
      <c r="AI27" s="58"/>
      <c r="AJ27" s="4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9">
        <v>4</v>
      </c>
      <c r="B28" s="212" t="s">
        <v>134</v>
      </c>
      <c r="C28" s="212" t="s">
        <v>264</v>
      </c>
      <c r="D28" s="212" t="s">
        <v>265</v>
      </c>
      <c r="E28" s="215" t="s">
        <v>266</v>
      </c>
      <c r="F28" s="212" t="s">
        <v>125</v>
      </c>
      <c r="G28" s="218">
        <v>20</v>
      </c>
      <c r="H28" s="221" t="str">
        <f>IF(G28&lt;=0,"",IF(G28&lt;=2,"Muy Baja",IF(G28&lt;=24,"Baja",IF(G28&lt;=500,"Media",IF(G28&lt;=5000,"Alta","Muy Alta")))))</f>
        <v>Baja</v>
      </c>
      <c r="I28" s="203">
        <f>IF(H28="","",IF(H28="Muy Baja",0.2,IF(H28="Baja",0.4,IF(H28="Media",0.6,IF(H28="Alta",0.8,IF(H28="Muy Alta",1,))))))</f>
        <v>0.4</v>
      </c>
      <c r="J28" s="224" t="s">
        <v>154</v>
      </c>
      <c r="K28" s="203" t="str">
        <f>IF(NOT(ISERROR(MATCH(J28,'Tabla Impacto'!$B$221:$B$223,0))),'Tabla Impacto'!$F$223&amp;"Por favor no seleccionar los criterios de impacto(Afectación Económica o presupuestal y Pérdida Reputacional)",J28)</f>
        <v xml:space="preserve">     El riesgo afecta la imagen de la entidad internamente, de conocimiento general, nivel interno, de junta dircetiva y accionistas y/o de provedores</v>
      </c>
      <c r="L28" s="221" t="str">
        <f>IF(OR(K28='Tabla Impacto'!$C$11,K28='Tabla Impacto'!$D$11),"Leve",IF(OR(K28='Tabla Impacto'!$C$12,K28='Tabla Impacto'!$D$12),"Menor",IF(OR(K28='Tabla Impacto'!$C$13,K28='Tabla Impacto'!$D$13),"Moderado",IF(OR(K28='Tabla Impacto'!$C$14,K28='Tabla Impacto'!$D$14),"Mayor",IF(OR(K28='Tabla Impacto'!$C$15,K28='Tabla Impacto'!$D$15),"Catastrófico","")))))</f>
        <v>Menor</v>
      </c>
      <c r="M28" s="203">
        <f>IF(L28="","",IF(L28="Leve",0.2,IF(L28="Menor",0.4,IF(L28="Moderado",0.6,IF(L28="Mayor",0.8,IF(L28="Catastrófico",1,))))))</f>
        <v>0.4</v>
      </c>
      <c r="N28" s="20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6">
        <v>1</v>
      </c>
      <c r="P28" s="145" t="s">
        <v>300</v>
      </c>
      <c r="Q28" s="51" t="str">
        <f>IF(OR(R28="Preventivo",R28="Detectivo"),"Probabilidad",IF(R28="Correctivo","Impacto",""))</f>
        <v>Probabilidad</v>
      </c>
      <c r="R28" s="52" t="s">
        <v>14</v>
      </c>
      <c r="S28" s="52" t="s">
        <v>9</v>
      </c>
      <c r="T28" s="53" t="str">
        <f>IF(AND(R28="Preventivo",S28="Automático"),"50%",IF(AND(R28="Preventivo",S28="Manual"),"40%",IF(AND(R28="Detectivo",S28="Automático"),"40%",IF(AND(R28="Detectivo",S28="Manual"),"30%",IF(AND(R28="Correctivo",S28="Automático"),"35%",IF(AND(R28="Correctivo",S28="Manual"),"25%",""))))))</f>
        <v>40%</v>
      </c>
      <c r="U28" s="52" t="s">
        <v>19</v>
      </c>
      <c r="V28" s="52" t="s">
        <v>22</v>
      </c>
      <c r="W28" s="52" t="s">
        <v>119</v>
      </c>
      <c r="X28" s="24">
        <f>IFERROR(IF(Q28="Probabilidad",(I28-(+I28*T28)),IF(Q28="Impacto",I28,"")),"")</f>
        <v>0.24</v>
      </c>
      <c r="Y28" s="54" t="str">
        <f>IFERROR(IF(X28="","",IF(X28&lt;=0.2,"Muy Baja",IF(X28&lt;=0.4,"Baja",IF(X28&lt;=0.6,"Media",IF(X28&lt;=0.8,"Alta","Muy Alta"))))),"")</f>
        <v>Baja</v>
      </c>
      <c r="Z28" s="55">
        <f>+X28</f>
        <v>0.24</v>
      </c>
      <c r="AA28" s="54" t="str">
        <f>IFERROR(IF(AB28="","",IF(AB28&lt;=0.2,"Leve",IF(AB28&lt;=0.4,"Menor",IF(AB28&lt;=0.6,"Moderado",IF(AB28&lt;=0.8,"Mayor","Catastrófico"))))),"")</f>
        <v>Menor</v>
      </c>
      <c r="AB28" s="55">
        <f>IFERROR(IF(Q28="Impacto",(M28-(+M28*T28)),IF(Q28="Probabilidad",M28,"")),"")</f>
        <v>0.4</v>
      </c>
      <c r="AC28" s="56"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57" t="s">
        <v>136</v>
      </c>
      <c r="AE28" s="140" t="s">
        <v>270</v>
      </c>
      <c r="AF28" s="140" t="s">
        <v>227</v>
      </c>
      <c r="AG28" s="143" t="s">
        <v>271</v>
      </c>
      <c r="AH28" s="59">
        <v>45291</v>
      </c>
      <c r="AI28" s="140" t="s">
        <v>318</v>
      </c>
      <c r="AJ28" s="48"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10"/>
      <c r="B29" s="213"/>
      <c r="C29" s="213"/>
      <c r="D29" s="213"/>
      <c r="E29" s="216"/>
      <c r="F29" s="213"/>
      <c r="G29" s="219"/>
      <c r="H29" s="222"/>
      <c r="I29" s="204"/>
      <c r="J29" s="225"/>
      <c r="K29" s="204">
        <f t="shared" ref="K29:K33" si="23">IF(NOT(ISERROR(MATCH(J29,_xlfn.ANCHORARRAY(E40),0))),I42&amp;"Por favor no seleccionar los criterios de impacto",J29)</f>
        <v>0</v>
      </c>
      <c r="L29" s="222"/>
      <c r="M29" s="204"/>
      <c r="N29" s="207"/>
      <c r="O29" s="6">
        <v>2</v>
      </c>
      <c r="P29" s="145" t="s">
        <v>301</v>
      </c>
      <c r="Q29" s="51" t="str">
        <f>IF(OR(R29="Preventivo",R29="Detectivo"),"Probabilidad",IF(R29="Correctivo","Impacto",""))</f>
        <v>Probabilidad</v>
      </c>
      <c r="R29" s="52" t="s">
        <v>14</v>
      </c>
      <c r="S29" s="52" t="s">
        <v>9</v>
      </c>
      <c r="T29" s="53" t="str">
        <f t="shared" ref="T29:T33" si="24">IF(AND(R29="Preventivo",S29="Automático"),"50%",IF(AND(R29="Preventivo",S29="Manual"),"40%",IF(AND(R29="Detectivo",S29="Automático"),"40%",IF(AND(R29="Detectivo",S29="Manual"),"30%",IF(AND(R29="Correctivo",S29="Automático"),"35%",IF(AND(R29="Correctivo",S29="Manual"),"25%",""))))))</f>
        <v>40%</v>
      </c>
      <c r="U29" s="52" t="s">
        <v>19</v>
      </c>
      <c r="V29" s="52" t="s">
        <v>22</v>
      </c>
      <c r="W29" s="52" t="s">
        <v>119</v>
      </c>
      <c r="X29" s="24">
        <f>IFERROR(IF(AND(Q28="Probabilidad",Q29="Probabilidad"),(Z28-(+Z28*T29)),IF(Q29="Probabilidad",(I28-(+I28*T29)),IF(Q29="Impacto",Z28,""))),"")</f>
        <v>0.14399999999999999</v>
      </c>
      <c r="Y29" s="54" t="str">
        <f t="shared" si="1"/>
        <v>Muy Baja</v>
      </c>
      <c r="Z29" s="55">
        <f t="shared" ref="Z29:Z33" si="25">+X29</f>
        <v>0.14399999999999999</v>
      </c>
      <c r="AA29" s="54" t="str">
        <f t="shared" si="3"/>
        <v>Leve</v>
      </c>
      <c r="AB29" s="55">
        <f>IFERROR(IF(AND(Q28="Impacto",Q29="Impacto"),(AB22-(+AB22*T29)),IF(Q29="Impacto",($M$28-(+$M$28*T29)),IF(Q29="Probabilidad",AB22,""))),"")</f>
        <v>0.2</v>
      </c>
      <c r="AC29" s="56"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Bajo</v>
      </c>
      <c r="AD29" s="57" t="s">
        <v>136</v>
      </c>
      <c r="AE29" s="140" t="s">
        <v>277</v>
      </c>
      <c r="AF29" s="140" t="s">
        <v>227</v>
      </c>
      <c r="AG29" s="143" t="s">
        <v>232</v>
      </c>
      <c r="AH29" s="59">
        <v>45291</v>
      </c>
      <c r="AI29" s="140" t="s">
        <v>319</v>
      </c>
      <c r="AJ29" s="48" t="s">
        <v>40</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10"/>
      <c r="B30" s="213"/>
      <c r="C30" s="213"/>
      <c r="D30" s="213"/>
      <c r="E30" s="216"/>
      <c r="F30" s="213"/>
      <c r="G30" s="219"/>
      <c r="H30" s="222"/>
      <c r="I30" s="204"/>
      <c r="J30" s="225"/>
      <c r="K30" s="204">
        <f t="shared" si="23"/>
        <v>0</v>
      </c>
      <c r="L30" s="222"/>
      <c r="M30" s="204"/>
      <c r="N30" s="207"/>
      <c r="O30" s="6">
        <v>3</v>
      </c>
      <c r="P30" s="146" t="s">
        <v>267</v>
      </c>
      <c r="Q30" s="51" t="str">
        <f>IF(OR(R30="Preventivo",R30="Detectivo"),"Probabilidad",IF(R30="Correctivo","Impacto",""))</f>
        <v>Probabilidad</v>
      </c>
      <c r="R30" s="52" t="s">
        <v>14</v>
      </c>
      <c r="S30" s="52" t="s">
        <v>9</v>
      </c>
      <c r="T30" s="53" t="str">
        <f t="shared" si="24"/>
        <v>40%</v>
      </c>
      <c r="U30" s="52" t="s">
        <v>19</v>
      </c>
      <c r="V30" s="52" t="s">
        <v>22</v>
      </c>
      <c r="W30" s="52" t="s">
        <v>119</v>
      </c>
      <c r="X30" s="24">
        <f>IFERROR(IF(AND(Q29="Probabilidad",Q30="Probabilidad"),(Z29-(+Z29*T30)),IF(AND(Q29="Impacto",Q30="Probabilidad"),(Z28-(+Z28*T30)),IF(Q30="Impacto",Z29,""))),"")</f>
        <v>8.6399999999999991E-2</v>
      </c>
      <c r="Y30" s="54" t="str">
        <f t="shared" si="1"/>
        <v>Muy Baja</v>
      </c>
      <c r="Z30" s="55">
        <f t="shared" si="25"/>
        <v>8.6399999999999991E-2</v>
      </c>
      <c r="AA30" s="54" t="str">
        <f t="shared" si="3"/>
        <v>Leve</v>
      </c>
      <c r="AB30" s="55">
        <f>IFERROR(IF(AND(Q29="Impacto",Q30="Impacto"),(AB29-(+AB29*T30)),IF(AND(Q29="Probabilidad",Q30="Impacto"),(AB28-(+AB28*T30)),IF(Q30="Probabilidad",AB29,""))),"")</f>
        <v>0.2</v>
      </c>
      <c r="AC30" s="56" t="str">
        <f t="shared" si="26"/>
        <v>Bajo</v>
      </c>
      <c r="AD30" s="57" t="s">
        <v>136</v>
      </c>
      <c r="AE30" s="140" t="s">
        <v>272</v>
      </c>
      <c r="AF30" s="140" t="s">
        <v>227</v>
      </c>
      <c r="AG30" s="143" t="s">
        <v>271</v>
      </c>
      <c r="AH30" s="59">
        <v>45291</v>
      </c>
      <c r="AI30" s="140" t="s">
        <v>320</v>
      </c>
      <c r="AJ30" s="48" t="s">
        <v>41</v>
      </c>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10"/>
      <c r="B31" s="213"/>
      <c r="C31" s="213"/>
      <c r="D31" s="213"/>
      <c r="E31" s="216"/>
      <c r="F31" s="213"/>
      <c r="G31" s="219"/>
      <c r="H31" s="222"/>
      <c r="I31" s="204"/>
      <c r="J31" s="225"/>
      <c r="K31" s="204">
        <f t="shared" si="23"/>
        <v>0</v>
      </c>
      <c r="L31" s="222"/>
      <c r="M31" s="204"/>
      <c r="N31" s="207"/>
      <c r="O31" s="6">
        <v>4</v>
      </c>
      <c r="P31" s="146" t="s">
        <v>268</v>
      </c>
      <c r="Q31" s="51" t="str">
        <f t="shared" ref="Q31:Q33" si="27">IF(OR(R31="Preventivo",R31="Detectivo"),"Probabilidad",IF(R31="Correctivo","Impacto",""))</f>
        <v>Probabilidad</v>
      </c>
      <c r="R31" s="52" t="s">
        <v>14</v>
      </c>
      <c r="S31" s="52" t="s">
        <v>9</v>
      </c>
      <c r="T31" s="53" t="str">
        <f t="shared" si="24"/>
        <v>40%</v>
      </c>
      <c r="U31" s="52" t="s">
        <v>19</v>
      </c>
      <c r="V31" s="52" t="s">
        <v>22</v>
      </c>
      <c r="W31" s="52" t="s">
        <v>119</v>
      </c>
      <c r="X31" s="24">
        <f t="shared" ref="X31:X33" si="28">IFERROR(IF(AND(Q30="Probabilidad",Q31="Probabilidad"),(Z30-(+Z30*T31)),IF(AND(Q30="Impacto",Q31="Probabilidad"),(Z29-(+Z29*T31)),IF(Q31="Impacto",Z30,""))),"")</f>
        <v>5.183999999999999E-2</v>
      </c>
      <c r="Y31" s="54" t="str">
        <f t="shared" si="1"/>
        <v>Muy Baja</v>
      </c>
      <c r="Z31" s="55">
        <f t="shared" si="25"/>
        <v>5.183999999999999E-2</v>
      </c>
      <c r="AA31" s="54" t="str">
        <f t="shared" si="3"/>
        <v>Leve</v>
      </c>
      <c r="AB31" s="55">
        <f t="shared" ref="AB31:AB33" si="29">IFERROR(IF(AND(Q30="Impacto",Q31="Impacto"),(AB30-(+AB30*T31)),IF(AND(Q30="Probabilidad",Q31="Impacto"),(AB29-(+AB29*T31)),IF(Q31="Probabilidad",AB30,""))),"")</f>
        <v>0.2</v>
      </c>
      <c r="AC31" s="5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Bajo</v>
      </c>
      <c r="AD31" s="57" t="s">
        <v>136</v>
      </c>
      <c r="AE31" s="140" t="s">
        <v>273</v>
      </c>
      <c r="AF31" s="140" t="s">
        <v>274</v>
      </c>
      <c r="AG31" s="143" t="s">
        <v>271</v>
      </c>
      <c r="AH31" s="59">
        <v>45291</v>
      </c>
      <c r="AI31" s="140" t="s">
        <v>322</v>
      </c>
      <c r="AJ31" s="48" t="s">
        <v>41</v>
      </c>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10"/>
      <c r="B32" s="213"/>
      <c r="C32" s="213"/>
      <c r="D32" s="213"/>
      <c r="E32" s="216"/>
      <c r="F32" s="213"/>
      <c r="G32" s="219"/>
      <c r="H32" s="222"/>
      <c r="I32" s="204"/>
      <c r="J32" s="225"/>
      <c r="K32" s="204">
        <f t="shared" si="23"/>
        <v>0</v>
      </c>
      <c r="L32" s="222"/>
      <c r="M32" s="204"/>
      <c r="N32" s="207"/>
      <c r="O32" s="6">
        <v>5</v>
      </c>
      <c r="P32" s="146" t="s">
        <v>269</v>
      </c>
      <c r="Q32" s="51" t="str">
        <f t="shared" si="27"/>
        <v>Probabilidad</v>
      </c>
      <c r="R32" s="52" t="s">
        <v>14</v>
      </c>
      <c r="S32" s="52" t="s">
        <v>9</v>
      </c>
      <c r="T32" s="53" t="str">
        <f t="shared" si="24"/>
        <v>40%</v>
      </c>
      <c r="U32" s="52" t="s">
        <v>19</v>
      </c>
      <c r="V32" s="52" t="s">
        <v>22</v>
      </c>
      <c r="W32" s="52" t="s">
        <v>119</v>
      </c>
      <c r="X32" s="31">
        <f t="shared" si="28"/>
        <v>3.1103999999999993E-2</v>
      </c>
      <c r="Y32" s="54" t="str">
        <f>IFERROR(IF(X32="","",IF(X32&lt;=0.2,"Muy Baja",IF(X32&lt;=0.4,"Baja",IF(X32&lt;=0.6,"Media",IF(X32&lt;=0.8,"Alta","Muy Alta"))))),"")</f>
        <v>Muy Baja</v>
      </c>
      <c r="Z32" s="55">
        <f t="shared" si="25"/>
        <v>3.1103999999999993E-2</v>
      </c>
      <c r="AA32" s="54" t="str">
        <f t="shared" si="3"/>
        <v>Leve</v>
      </c>
      <c r="AB32" s="55">
        <f t="shared" si="29"/>
        <v>0.2</v>
      </c>
      <c r="AC32" s="56"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Bajo</v>
      </c>
      <c r="AD32" s="57" t="s">
        <v>136</v>
      </c>
      <c r="AE32" s="140" t="s">
        <v>275</v>
      </c>
      <c r="AF32" s="141" t="s">
        <v>276</v>
      </c>
      <c r="AG32" s="143" t="s">
        <v>232</v>
      </c>
      <c r="AH32" s="59">
        <v>45291</v>
      </c>
      <c r="AI32" s="140" t="s">
        <v>321</v>
      </c>
      <c r="AJ32" s="48" t="s">
        <v>40</v>
      </c>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11"/>
      <c r="B33" s="214"/>
      <c r="C33" s="214"/>
      <c r="D33" s="214"/>
      <c r="E33" s="217"/>
      <c r="F33" s="214"/>
      <c r="G33" s="220"/>
      <c r="H33" s="223"/>
      <c r="I33" s="205"/>
      <c r="J33" s="226"/>
      <c r="K33" s="205">
        <f t="shared" si="23"/>
        <v>0</v>
      </c>
      <c r="L33" s="223"/>
      <c r="M33" s="205"/>
      <c r="N33" s="208"/>
      <c r="O33" s="6">
        <v>6</v>
      </c>
      <c r="P33" s="49"/>
      <c r="Q33" s="51" t="str">
        <f t="shared" si="27"/>
        <v/>
      </c>
      <c r="R33" s="52"/>
      <c r="S33" s="52"/>
      <c r="T33" s="53" t="str">
        <f t="shared" si="24"/>
        <v/>
      </c>
      <c r="U33" s="52"/>
      <c r="V33" s="52"/>
      <c r="W33" s="52"/>
      <c r="X33" s="24" t="str">
        <f t="shared" si="28"/>
        <v/>
      </c>
      <c r="Y33" s="54" t="str">
        <f t="shared" si="1"/>
        <v/>
      </c>
      <c r="Z33" s="55" t="str">
        <f t="shared" si="25"/>
        <v/>
      </c>
      <c r="AA33" s="54" t="str">
        <f t="shared" si="3"/>
        <v/>
      </c>
      <c r="AB33" s="55" t="str">
        <f t="shared" si="29"/>
        <v/>
      </c>
      <c r="AC33" s="56" t="str">
        <f t="shared" si="30"/>
        <v/>
      </c>
      <c r="AD33" s="57"/>
      <c r="AE33" s="58"/>
      <c r="AF33" s="4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9">
        <v>5</v>
      </c>
      <c r="B34" s="212" t="s">
        <v>134</v>
      </c>
      <c r="C34" s="212" t="s">
        <v>278</v>
      </c>
      <c r="D34" s="212" t="s">
        <v>279</v>
      </c>
      <c r="E34" s="215" t="s">
        <v>280</v>
      </c>
      <c r="F34" s="212" t="s">
        <v>125</v>
      </c>
      <c r="G34" s="218">
        <v>20</v>
      </c>
      <c r="H34" s="221" t="str">
        <f>IF(G34&lt;=0,"",IF(G34&lt;=2,"Muy Baja",IF(G34&lt;=24,"Baja",IF(G34&lt;=500,"Media",IF(G34&lt;=5000,"Alta","Muy Alta")))))</f>
        <v>Baja</v>
      </c>
      <c r="I34" s="203">
        <f>IF(H34="","",IF(H34="Muy Baja",0.2,IF(H34="Baja",0.4,IF(H34="Media",0.6,IF(H34="Alta",0.8,IF(H34="Muy Alta",1,))))))</f>
        <v>0.4</v>
      </c>
      <c r="J34" s="224" t="s">
        <v>154</v>
      </c>
      <c r="K34" s="203" t="str">
        <f>IF(NOT(ISERROR(MATCH(J34,'Tabla Impacto'!$B$221:$B$223,0))),'Tabla Impacto'!$F$223&amp;"Por favor no seleccionar los criterios de impacto(Afectación Económica o presupuestal y Pérdida Reputacional)",J34)</f>
        <v xml:space="preserve">     El riesgo afecta la imagen de la entidad internamente, de conocimiento general, nivel interno, de junta dircetiva y accionistas y/o de provedores</v>
      </c>
      <c r="L34" s="221" t="str">
        <f>IF(OR(K34='Tabla Impacto'!$C$11,K34='Tabla Impacto'!$D$11),"Leve",IF(OR(K34='Tabla Impacto'!$C$12,K34='Tabla Impacto'!$D$12),"Menor",IF(OR(K34='Tabla Impacto'!$C$13,K34='Tabla Impacto'!$D$13),"Moderado",IF(OR(K34='Tabla Impacto'!$C$14,K34='Tabla Impacto'!$D$14),"Mayor",IF(OR(K34='Tabla Impacto'!$C$15,K34='Tabla Impacto'!$D$15),"Catastrófico","")))))</f>
        <v>Menor</v>
      </c>
      <c r="M34" s="203">
        <f>IF(L34="","",IF(L34="Leve",0.2,IF(L34="Menor",0.4,IF(L34="Moderado",0.6,IF(L34="Mayor",0.8,IF(L34="Catastrófico",1,))))))</f>
        <v>0.4</v>
      </c>
      <c r="N34" s="206"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6">
        <v>1</v>
      </c>
      <c r="P34" s="145" t="s">
        <v>281</v>
      </c>
      <c r="Q34" s="51" t="str">
        <f>IF(OR(R34="Preventivo",R34="Detectivo"),"Probabilidad",IF(R34="Correctivo","Impacto",""))</f>
        <v>Probabilidad</v>
      </c>
      <c r="R34" s="52" t="s">
        <v>14</v>
      </c>
      <c r="S34" s="52" t="s">
        <v>9</v>
      </c>
      <c r="T34" s="53" t="str">
        <f>IF(AND(R34="Preventivo",S34="Automático"),"50%",IF(AND(R34="Preventivo",S34="Manual"),"40%",IF(AND(R34="Detectivo",S34="Automático"),"40%",IF(AND(R34="Detectivo",S34="Manual"),"30%",IF(AND(R34="Correctivo",S34="Automático"),"35%",IF(AND(R34="Correctivo",S34="Manual"),"25%",""))))))</f>
        <v>40%</v>
      </c>
      <c r="U34" s="52" t="s">
        <v>19</v>
      </c>
      <c r="V34" s="52" t="s">
        <v>22</v>
      </c>
      <c r="W34" s="52" t="s">
        <v>119</v>
      </c>
      <c r="X34" s="24">
        <f>IFERROR(IF(Q34="Probabilidad",(I34-(+I34*T34)),IF(Q34="Impacto",I34,"")),"")</f>
        <v>0.24</v>
      </c>
      <c r="Y34" s="54" t="str">
        <f>IFERROR(IF(X34="","",IF(X34&lt;=0.2,"Muy Baja",IF(X34&lt;=0.4,"Baja",IF(X34&lt;=0.6,"Media",IF(X34&lt;=0.8,"Alta","Muy Alta"))))),"")</f>
        <v>Baja</v>
      </c>
      <c r="Z34" s="55">
        <f>+X34</f>
        <v>0.24</v>
      </c>
      <c r="AA34" s="54" t="str">
        <f>IFERROR(IF(AB34="","",IF(AB34&lt;=0.2,"Leve",IF(AB34&lt;=0.4,"Menor",IF(AB34&lt;=0.6,"Moderado",IF(AB34&lt;=0.8,"Mayor","Catastrófico"))))),"")</f>
        <v>Menor</v>
      </c>
      <c r="AB34" s="55">
        <f>IFERROR(IF(Q34="Impacto",(M34-(+M34*T34)),IF(Q34="Probabilidad",M34,"")),"")</f>
        <v>0.4</v>
      </c>
      <c r="AC34" s="56"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57" t="s">
        <v>136</v>
      </c>
      <c r="AE34" s="140" t="s">
        <v>284</v>
      </c>
      <c r="AF34" s="140" t="s">
        <v>285</v>
      </c>
      <c r="AG34" s="143" t="s">
        <v>271</v>
      </c>
      <c r="AH34" s="59">
        <v>45291</v>
      </c>
      <c r="AI34" s="140" t="s">
        <v>323</v>
      </c>
      <c r="AJ34" s="48"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10"/>
      <c r="B35" s="213"/>
      <c r="C35" s="213"/>
      <c r="D35" s="213"/>
      <c r="E35" s="216"/>
      <c r="F35" s="213"/>
      <c r="G35" s="219"/>
      <c r="H35" s="222"/>
      <c r="I35" s="204"/>
      <c r="J35" s="225"/>
      <c r="K35" s="204">
        <f t="shared" ref="K35:K39" si="31">IF(NOT(ISERROR(MATCH(J35,_xlfn.ANCHORARRAY(E46),0))),I48&amp;"Por favor no seleccionar los criterios de impacto",J35)</f>
        <v>0</v>
      </c>
      <c r="L35" s="222"/>
      <c r="M35" s="204"/>
      <c r="N35" s="207"/>
      <c r="O35" s="6">
        <v>2</v>
      </c>
      <c r="P35" s="145" t="s">
        <v>282</v>
      </c>
      <c r="Q35" s="51" t="str">
        <f>IF(OR(R35="Preventivo",R35="Detectivo"),"Probabilidad",IF(R35="Correctivo","Impacto",""))</f>
        <v>Probabilidad</v>
      </c>
      <c r="R35" s="52" t="s">
        <v>15</v>
      </c>
      <c r="S35" s="52" t="s">
        <v>9</v>
      </c>
      <c r="T35" s="53" t="str">
        <f t="shared" ref="T35:T39" si="32">IF(AND(R35="Preventivo",S35="Automático"),"50%",IF(AND(R35="Preventivo",S35="Manual"),"40%",IF(AND(R35="Detectivo",S35="Automático"),"40%",IF(AND(R35="Detectivo",S35="Manual"),"30%",IF(AND(R35="Correctivo",S35="Automático"),"35%",IF(AND(R35="Correctivo",S35="Manual"),"25%",""))))))</f>
        <v>30%</v>
      </c>
      <c r="U35" s="52" t="s">
        <v>19</v>
      </c>
      <c r="V35" s="52" t="s">
        <v>23</v>
      </c>
      <c r="W35" s="52" t="s">
        <v>119</v>
      </c>
      <c r="X35" s="24">
        <f>IFERROR(IF(AND(Q34="Probabilidad",Q35="Probabilidad"),(Z34-(+Z34*T35)),IF(Q35="Probabilidad",(I34-(+I34*T35)),IF(Q35="Impacto",Z34,""))),"")</f>
        <v>0.16799999999999998</v>
      </c>
      <c r="Y35" s="54" t="str">
        <f t="shared" si="1"/>
        <v>Muy Baja</v>
      </c>
      <c r="Z35" s="55">
        <f t="shared" ref="Z35:Z39" si="33">+X35</f>
        <v>0.16799999999999998</v>
      </c>
      <c r="AA35" s="54" t="str">
        <f t="shared" si="3"/>
        <v>Menor</v>
      </c>
      <c r="AB35" s="55">
        <f>IFERROR(IF(AND(Q34="Impacto",Q35="Impacto"),(AB28-(+AB28*T35)),IF(Q35="Impacto",($M$34-(+$M$34*T35)),IF(Q35="Probabilidad",AB28,""))),"")</f>
        <v>0.4</v>
      </c>
      <c r="AC35" s="56"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57" t="s">
        <v>136</v>
      </c>
      <c r="AE35" s="140" t="s">
        <v>286</v>
      </c>
      <c r="AF35" s="140" t="s">
        <v>287</v>
      </c>
      <c r="AG35" s="143" t="s">
        <v>288</v>
      </c>
      <c r="AH35" s="59">
        <v>45291</v>
      </c>
      <c r="AI35" s="140" t="s">
        <v>325</v>
      </c>
      <c r="AJ35" s="48"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10"/>
      <c r="B36" s="213"/>
      <c r="C36" s="213"/>
      <c r="D36" s="213"/>
      <c r="E36" s="216"/>
      <c r="F36" s="213"/>
      <c r="G36" s="219"/>
      <c r="H36" s="222"/>
      <c r="I36" s="204"/>
      <c r="J36" s="225"/>
      <c r="K36" s="204">
        <f t="shared" si="31"/>
        <v>0</v>
      </c>
      <c r="L36" s="222"/>
      <c r="M36" s="204"/>
      <c r="N36" s="207"/>
      <c r="O36" s="6">
        <v>3</v>
      </c>
      <c r="P36" s="146" t="s">
        <v>283</v>
      </c>
      <c r="Q36" s="51" t="str">
        <f>IF(OR(R36="Preventivo",R36="Detectivo"),"Probabilidad",IF(R36="Correctivo","Impacto",""))</f>
        <v>Probabilidad</v>
      </c>
      <c r="R36" s="52" t="s">
        <v>15</v>
      </c>
      <c r="S36" s="52" t="s">
        <v>9</v>
      </c>
      <c r="T36" s="53" t="str">
        <f t="shared" si="32"/>
        <v>30%</v>
      </c>
      <c r="U36" s="52" t="s">
        <v>19</v>
      </c>
      <c r="V36" s="52" t="s">
        <v>22</v>
      </c>
      <c r="W36" s="52" t="s">
        <v>119</v>
      </c>
      <c r="X36" s="24">
        <f>IFERROR(IF(AND(Q35="Probabilidad",Q36="Probabilidad"),(Z35-(+Z35*T36)),IF(AND(Q35="Impacto",Q36="Probabilidad"),(Z34-(+Z34*T36)),IF(Q36="Impacto",Z35,""))),"")</f>
        <v>0.11759999999999998</v>
      </c>
      <c r="Y36" s="54" t="str">
        <f t="shared" si="1"/>
        <v>Muy Baja</v>
      </c>
      <c r="Z36" s="55">
        <f t="shared" si="33"/>
        <v>0.11759999999999998</v>
      </c>
      <c r="AA36" s="54" t="str">
        <f t="shared" si="3"/>
        <v>Menor</v>
      </c>
      <c r="AB36" s="55">
        <f>IFERROR(IF(AND(Q35="Impacto",Q36="Impacto"),(AB35-(+AB35*T36)),IF(AND(Q35="Probabilidad",Q36="Impacto"),(AB34-(+AB34*T36)),IF(Q36="Probabilidad",AB35,""))),"")</f>
        <v>0.4</v>
      </c>
      <c r="AC36" s="56" t="str">
        <f t="shared" si="34"/>
        <v>Bajo</v>
      </c>
      <c r="AD36" s="57" t="s">
        <v>136</v>
      </c>
      <c r="AE36" s="140" t="s">
        <v>289</v>
      </c>
      <c r="AF36" s="140" t="s">
        <v>285</v>
      </c>
      <c r="AG36" s="143" t="s">
        <v>263</v>
      </c>
      <c r="AH36" s="59">
        <v>45291</v>
      </c>
      <c r="AI36" s="140" t="s">
        <v>324</v>
      </c>
      <c r="AJ36" s="48" t="s">
        <v>41</v>
      </c>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10"/>
      <c r="B37" s="213"/>
      <c r="C37" s="213"/>
      <c r="D37" s="213"/>
      <c r="E37" s="216"/>
      <c r="F37" s="213"/>
      <c r="G37" s="219"/>
      <c r="H37" s="222"/>
      <c r="I37" s="204"/>
      <c r="J37" s="225"/>
      <c r="K37" s="204">
        <f t="shared" si="31"/>
        <v>0</v>
      </c>
      <c r="L37" s="222"/>
      <c r="M37" s="204"/>
      <c r="N37" s="207"/>
      <c r="O37" s="6">
        <v>4</v>
      </c>
      <c r="P37" s="49"/>
      <c r="Q37" s="51" t="str">
        <f t="shared" ref="Q37:Q39" si="35">IF(OR(R37="Preventivo",R37="Detectivo"),"Probabilidad",IF(R37="Correctivo","Impacto",""))</f>
        <v/>
      </c>
      <c r="R37" s="52"/>
      <c r="S37" s="52"/>
      <c r="T37" s="53" t="str">
        <f t="shared" si="32"/>
        <v/>
      </c>
      <c r="U37" s="52"/>
      <c r="V37" s="52"/>
      <c r="W37" s="52"/>
      <c r="X37" s="24" t="str">
        <f t="shared" ref="X37:X39" si="36">IFERROR(IF(AND(Q36="Probabilidad",Q37="Probabilidad"),(Z36-(+Z36*T37)),IF(AND(Q36="Impacto",Q37="Probabilidad"),(Z35-(+Z35*T37)),IF(Q37="Impacto",Z36,""))),"")</f>
        <v/>
      </c>
      <c r="Y37" s="54" t="str">
        <f t="shared" si="1"/>
        <v/>
      </c>
      <c r="Z37" s="55" t="str">
        <f t="shared" si="33"/>
        <v/>
      </c>
      <c r="AA37" s="54" t="str">
        <f t="shared" si="3"/>
        <v/>
      </c>
      <c r="AB37" s="55" t="str">
        <f t="shared" ref="AB37:AB39" si="37">IFERROR(IF(AND(Q36="Impacto",Q37="Impacto"),(AB36-(+AB36*T37)),IF(AND(Q36="Probabilidad",Q37="Impacto"),(AB35-(+AB35*T37)),IF(Q37="Probabilidad",AB36,""))),"")</f>
        <v/>
      </c>
      <c r="AC37" s="5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57"/>
      <c r="AE37" s="58"/>
      <c r="AF37" s="4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10"/>
      <c r="B38" s="213"/>
      <c r="C38" s="213"/>
      <c r="D38" s="213"/>
      <c r="E38" s="216"/>
      <c r="F38" s="213"/>
      <c r="G38" s="219"/>
      <c r="H38" s="222"/>
      <c r="I38" s="204"/>
      <c r="J38" s="225"/>
      <c r="K38" s="204">
        <f t="shared" si="31"/>
        <v>0</v>
      </c>
      <c r="L38" s="222"/>
      <c r="M38" s="204"/>
      <c r="N38" s="207"/>
      <c r="O38" s="6">
        <v>5</v>
      </c>
      <c r="P38" s="49"/>
      <c r="Q38" s="51" t="str">
        <f t="shared" si="35"/>
        <v/>
      </c>
      <c r="R38" s="52"/>
      <c r="S38" s="52"/>
      <c r="T38" s="53" t="str">
        <f t="shared" si="32"/>
        <v/>
      </c>
      <c r="U38" s="52"/>
      <c r="V38" s="52"/>
      <c r="W38" s="52"/>
      <c r="X38" s="24" t="str">
        <f t="shared" si="36"/>
        <v/>
      </c>
      <c r="Y38" s="54" t="str">
        <f t="shared" si="1"/>
        <v/>
      </c>
      <c r="Z38" s="55" t="str">
        <f t="shared" si="33"/>
        <v/>
      </c>
      <c r="AA38" s="54" t="str">
        <f t="shared" si="3"/>
        <v/>
      </c>
      <c r="AB38" s="55" t="str">
        <f t="shared" si="37"/>
        <v/>
      </c>
      <c r="AC38" s="56"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57"/>
      <c r="AE38" s="58"/>
      <c r="AF38" s="4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11"/>
      <c r="B39" s="214"/>
      <c r="C39" s="214"/>
      <c r="D39" s="214"/>
      <c r="E39" s="217"/>
      <c r="F39" s="214"/>
      <c r="G39" s="220"/>
      <c r="H39" s="223"/>
      <c r="I39" s="205"/>
      <c r="J39" s="226"/>
      <c r="K39" s="205">
        <f t="shared" si="31"/>
        <v>0</v>
      </c>
      <c r="L39" s="223"/>
      <c r="M39" s="205"/>
      <c r="N39" s="208"/>
      <c r="O39" s="6">
        <v>6</v>
      </c>
      <c r="P39" s="49"/>
      <c r="Q39" s="51" t="str">
        <f t="shared" si="35"/>
        <v/>
      </c>
      <c r="R39" s="52"/>
      <c r="S39" s="52"/>
      <c r="T39" s="53" t="str">
        <f t="shared" si="32"/>
        <v/>
      </c>
      <c r="U39" s="52"/>
      <c r="V39" s="52"/>
      <c r="W39" s="52"/>
      <c r="X39" s="24" t="str">
        <f t="shared" si="36"/>
        <v/>
      </c>
      <c r="Y39" s="54" t="str">
        <f t="shared" si="1"/>
        <v/>
      </c>
      <c r="Z39" s="55" t="str">
        <f t="shared" si="33"/>
        <v/>
      </c>
      <c r="AA39" s="54" t="str">
        <f t="shared" si="3"/>
        <v/>
      </c>
      <c r="AB39" s="55" t="str">
        <f t="shared" si="37"/>
        <v/>
      </c>
      <c r="AC39" s="56" t="str">
        <f t="shared" si="38"/>
        <v/>
      </c>
      <c r="AD39" s="57"/>
      <c r="AE39" s="58"/>
      <c r="AF39" s="4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9">
        <v>6</v>
      </c>
      <c r="B40" s="212"/>
      <c r="C40" s="212"/>
      <c r="D40" s="212"/>
      <c r="E40" s="215"/>
      <c r="F40" s="212"/>
      <c r="G40" s="218"/>
      <c r="H40" s="221" t="str">
        <f>IF(G40&lt;=0,"",IF(G40&lt;=2,"Muy Baja",IF(G40&lt;=24,"Baja",IF(G40&lt;=500,"Media",IF(G40&lt;=5000,"Alta","Muy Alta")))))</f>
        <v/>
      </c>
      <c r="I40" s="203" t="str">
        <f>IF(H40="","",IF(H40="Muy Baja",0.2,IF(H40="Baja",0.4,IF(H40="Media",0.6,IF(H40="Alta",0.8,IF(H40="Muy Alta",1,))))))</f>
        <v/>
      </c>
      <c r="J40" s="224"/>
      <c r="K40" s="203">
        <f>IF(NOT(ISERROR(MATCH(J40,'Tabla Impacto'!$B$221:$B$223,0))),'Tabla Impacto'!$F$223&amp;"Por favor no seleccionar los criterios de impacto(Afectación Económica o presupuestal y Pérdida Reputacional)",J40)</f>
        <v>0</v>
      </c>
      <c r="L40" s="221" t="str">
        <f>IF(OR(K40='Tabla Impacto'!$C$11,K40='Tabla Impacto'!$D$11),"Leve",IF(OR(K40='Tabla Impacto'!$C$12,K40='Tabla Impacto'!$D$12),"Menor",IF(OR(K40='Tabla Impacto'!$C$13,K40='Tabla Impacto'!$D$13),"Moderado",IF(OR(K40='Tabla Impacto'!$C$14,K40='Tabla Impacto'!$D$14),"Mayor",IF(OR(K40='Tabla Impacto'!$C$15,K40='Tabla Impacto'!$D$15),"Catastrófico","")))))</f>
        <v/>
      </c>
      <c r="M40" s="203" t="str">
        <f>IF(L40="","",IF(L40="Leve",0.2,IF(L40="Menor",0.4,IF(L40="Moderado",0.6,IF(L40="Mayor",0.8,IF(L40="Catastrófico",1,))))))</f>
        <v/>
      </c>
      <c r="N40" s="206"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6">
        <v>1</v>
      </c>
      <c r="P40" s="49"/>
      <c r="Q40" s="51" t="str">
        <f>IF(OR(R40="Preventivo",R40="Detectivo"),"Probabilidad",IF(R40="Correctivo","Impacto",""))</f>
        <v/>
      </c>
      <c r="R40" s="52"/>
      <c r="S40" s="52"/>
      <c r="T40" s="53" t="str">
        <f>IF(AND(R40="Preventivo",S40="Automático"),"50%",IF(AND(R40="Preventivo",S40="Manual"),"40%",IF(AND(R40="Detectivo",S40="Automático"),"40%",IF(AND(R40="Detectivo",S40="Manual"),"30%",IF(AND(R40="Correctivo",S40="Automático"),"35%",IF(AND(R40="Correctivo",S40="Manual"),"25%",""))))))</f>
        <v/>
      </c>
      <c r="U40" s="52"/>
      <c r="V40" s="52"/>
      <c r="W40" s="52"/>
      <c r="X40" s="24" t="str">
        <f>IFERROR(IF(Q40="Probabilidad",(I40-(+I40*T40)),IF(Q40="Impacto",I40,"")),"")</f>
        <v/>
      </c>
      <c r="Y40" s="54" t="str">
        <f>IFERROR(IF(X40="","",IF(X40&lt;=0.2,"Muy Baja",IF(X40&lt;=0.4,"Baja",IF(X40&lt;=0.6,"Media",IF(X40&lt;=0.8,"Alta","Muy Alta"))))),"")</f>
        <v/>
      </c>
      <c r="Z40" s="55" t="str">
        <f>+X40</f>
        <v/>
      </c>
      <c r="AA40" s="54" t="str">
        <f>IFERROR(IF(AB40="","",IF(AB40&lt;=0.2,"Leve",IF(AB40&lt;=0.4,"Menor",IF(AB40&lt;=0.6,"Moderado",IF(AB40&lt;=0.8,"Mayor","Catastrófico"))))),"")</f>
        <v/>
      </c>
      <c r="AB40" s="55" t="str">
        <f>IFERROR(IF(Q40="Impacto",(M40-(+M40*T40)),IF(Q40="Probabilidad",M40,"")),"")</f>
        <v/>
      </c>
      <c r="AC40" s="56"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57"/>
      <c r="AE40" s="58"/>
      <c r="AF40" s="4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10"/>
      <c r="B41" s="213"/>
      <c r="C41" s="213"/>
      <c r="D41" s="213"/>
      <c r="E41" s="216"/>
      <c r="F41" s="213"/>
      <c r="G41" s="219"/>
      <c r="H41" s="222"/>
      <c r="I41" s="204"/>
      <c r="J41" s="225"/>
      <c r="K41" s="204">
        <f t="shared" ref="K41:K45" si="39">IF(NOT(ISERROR(MATCH(J41,_xlfn.ANCHORARRAY(E52),0))),I54&amp;"Por favor no seleccionar los criterios de impacto",J41)</f>
        <v>0</v>
      </c>
      <c r="L41" s="222"/>
      <c r="M41" s="204"/>
      <c r="N41" s="207"/>
      <c r="O41" s="6">
        <v>2</v>
      </c>
      <c r="P41" s="49"/>
      <c r="Q41" s="51" t="str">
        <f>IF(OR(R41="Preventivo",R41="Detectivo"),"Probabilidad",IF(R41="Correctivo","Impacto",""))</f>
        <v/>
      </c>
      <c r="R41" s="52"/>
      <c r="S41" s="52"/>
      <c r="T41" s="53" t="str">
        <f t="shared" ref="T41:T45" si="40">IF(AND(R41="Preventivo",S41="Automático"),"50%",IF(AND(R41="Preventivo",S41="Manual"),"40%",IF(AND(R41="Detectivo",S41="Automático"),"40%",IF(AND(R41="Detectivo",S41="Manual"),"30%",IF(AND(R41="Correctivo",S41="Automático"),"35%",IF(AND(R41="Correctivo",S41="Manual"),"25%",""))))))</f>
        <v/>
      </c>
      <c r="U41" s="52"/>
      <c r="V41" s="52"/>
      <c r="W41" s="52"/>
      <c r="X41" s="24" t="str">
        <f>IFERROR(IF(AND(Q40="Probabilidad",Q41="Probabilidad"),(Z40-(+Z40*T41)),IF(Q41="Probabilidad",(I40-(+I40*T41)),IF(Q41="Impacto",Z40,""))),"")</f>
        <v/>
      </c>
      <c r="Y41" s="54" t="str">
        <f t="shared" si="1"/>
        <v/>
      </c>
      <c r="Z41" s="55" t="str">
        <f t="shared" ref="Z41:Z45" si="41">+X41</f>
        <v/>
      </c>
      <c r="AA41" s="54" t="str">
        <f t="shared" si="3"/>
        <v/>
      </c>
      <c r="AB41" s="55" t="str">
        <f>IFERROR(IF(AND(Q40="Impacto",Q41="Impacto"),(AB34-(+AB34*T41)),IF(Q41="Impacto",($M$40-(+$M$40*T41)),IF(Q41="Probabilidad",AB34,""))),"")</f>
        <v/>
      </c>
      <c r="AC41" s="56"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57"/>
      <c r="AE41" s="58"/>
      <c r="AF41" s="4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10"/>
      <c r="B42" s="213"/>
      <c r="C42" s="213"/>
      <c r="D42" s="213"/>
      <c r="E42" s="216"/>
      <c r="F42" s="213"/>
      <c r="G42" s="219"/>
      <c r="H42" s="222"/>
      <c r="I42" s="204"/>
      <c r="J42" s="225"/>
      <c r="K42" s="204">
        <f t="shared" si="39"/>
        <v>0</v>
      </c>
      <c r="L42" s="222"/>
      <c r="M42" s="204"/>
      <c r="N42" s="207"/>
      <c r="O42" s="6">
        <v>3</v>
      </c>
      <c r="P42" s="50"/>
      <c r="Q42" s="51" t="str">
        <f>IF(OR(R42="Preventivo",R42="Detectivo"),"Probabilidad",IF(R42="Correctivo","Impacto",""))</f>
        <v/>
      </c>
      <c r="R42" s="52"/>
      <c r="S42" s="52"/>
      <c r="T42" s="53" t="str">
        <f t="shared" si="40"/>
        <v/>
      </c>
      <c r="U42" s="52"/>
      <c r="V42" s="52"/>
      <c r="W42" s="52"/>
      <c r="X42" s="24" t="str">
        <f>IFERROR(IF(AND(Q41="Probabilidad",Q42="Probabilidad"),(Z41-(+Z41*T42)),IF(AND(Q41="Impacto",Q42="Probabilidad"),(Z40-(+Z40*T42)),IF(Q42="Impacto",Z41,""))),"")</f>
        <v/>
      </c>
      <c r="Y42" s="54" t="str">
        <f t="shared" si="1"/>
        <v/>
      </c>
      <c r="Z42" s="55" t="str">
        <f t="shared" si="41"/>
        <v/>
      </c>
      <c r="AA42" s="54" t="str">
        <f t="shared" si="3"/>
        <v/>
      </c>
      <c r="AB42" s="55" t="str">
        <f>IFERROR(IF(AND(Q41="Impacto",Q42="Impacto"),(AB41-(+AB41*T42)),IF(AND(Q41="Probabilidad",Q42="Impacto"),(AB40-(+AB40*T42)),IF(Q42="Probabilidad",AB41,""))),"")</f>
        <v/>
      </c>
      <c r="AC42" s="56" t="str">
        <f t="shared" si="42"/>
        <v/>
      </c>
      <c r="AD42" s="57"/>
      <c r="AE42" s="58"/>
      <c r="AF42" s="4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10"/>
      <c r="B43" s="213"/>
      <c r="C43" s="213"/>
      <c r="D43" s="213"/>
      <c r="E43" s="216"/>
      <c r="F43" s="213"/>
      <c r="G43" s="219"/>
      <c r="H43" s="222"/>
      <c r="I43" s="204"/>
      <c r="J43" s="225"/>
      <c r="K43" s="204">
        <f t="shared" si="39"/>
        <v>0</v>
      </c>
      <c r="L43" s="222"/>
      <c r="M43" s="204"/>
      <c r="N43" s="207"/>
      <c r="O43" s="6">
        <v>4</v>
      </c>
      <c r="P43" s="49"/>
      <c r="Q43" s="51" t="str">
        <f t="shared" ref="Q43:Q45" si="43">IF(OR(R43="Preventivo",R43="Detectivo"),"Probabilidad",IF(R43="Correctivo","Impacto",""))</f>
        <v/>
      </c>
      <c r="R43" s="52"/>
      <c r="S43" s="52"/>
      <c r="T43" s="53" t="str">
        <f t="shared" si="40"/>
        <v/>
      </c>
      <c r="U43" s="52"/>
      <c r="V43" s="52"/>
      <c r="W43" s="52"/>
      <c r="X43" s="24" t="str">
        <f t="shared" ref="X43:X45" si="44">IFERROR(IF(AND(Q42="Probabilidad",Q43="Probabilidad"),(Z42-(+Z42*T43)),IF(AND(Q42="Impacto",Q43="Probabilidad"),(Z41-(+Z41*T43)),IF(Q43="Impacto",Z42,""))),"")</f>
        <v/>
      </c>
      <c r="Y43" s="54" t="str">
        <f t="shared" si="1"/>
        <v/>
      </c>
      <c r="Z43" s="55" t="str">
        <f t="shared" si="41"/>
        <v/>
      </c>
      <c r="AA43" s="54" t="str">
        <f t="shared" si="3"/>
        <v/>
      </c>
      <c r="AB43" s="55" t="str">
        <f t="shared" ref="AB43:AB45" si="45">IFERROR(IF(AND(Q42="Impacto",Q43="Impacto"),(AB42-(+AB42*T43)),IF(AND(Q42="Probabilidad",Q43="Impacto"),(AB41-(+AB41*T43)),IF(Q43="Probabilidad",AB42,""))),"")</f>
        <v/>
      </c>
      <c r="AC43" s="56"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57"/>
      <c r="AE43" s="58"/>
      <c r="AF43" s="4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10"/>
      <c r="B44" s="213"/>
      <c r="C44" s="213"/>
      <c r="D44" s="213"/>
      <c r="E44" s="216"/>
      <c r="F44" s="213"/>
      <c r="G44" s="219"/>
      <c r="H44" s="222"/>
      <c r="I44" s="204"/>
      <c r="J44" s="225"/>
      <c r="K44" s="204">
        <f t="shared" si="39"/>
        <v>0</v>
      </c>
      <c r="L44" s="222"/>
      <c r="M44" s="204"/>
      <c r="N44" s="207"/>
      <c r="O44" s="6">
        <v>5</v>
      </c>
      <c r="P44" s="49"/>
      <c r="Q44" s="51" t="str">
        <f t="shared" si="43"/>
        <v/>
      </c>
      <c r="R44" s="52"/>
      <c r="S44" s="52"/>
      <c r="T44" s="53" t="str">
        <f t="shared" si="40"/>
        <v/>
      </c>
      <c r="U44" s="52"/>
      <c r="V44" s="52"/>
      <c r="W44" s="52"/>
      <c r="X44" s="24" t="str">
        <f t="shared" si="44"/>
        <v/>
      </c>
      <c r="Y44" s="54" t="str">
        <f t="shared" si="1"/>
        <v/>
      </c>
      <c r="Z44" s="55" t="str">
        <f t="shared" si="41"/>
        <v/>
      </c>
      <c r="AA44" s="54" t="str">
        <f t="shared" si="3"/>
        <v/>
      </c>
      <c r="AB44" s="55" t="str">
        <f t="shared" si="45"/>
        <v/>
      </c>
      <c r="AC44" s="56"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57"/>
      <c r="AE44" s="58"/>
      <c r="AF44" s="4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11"/>
      <c r="B45" s="214"/>
      <c r="C45" s="214"/>
      <c r="D45" s="214"/>
      <c r="E45" s="217"/>
      <c r="F45" s="214"/>
      <c r="G45" s="220"/>
      <c r="H45" s="223"/>
      <c r="I45" s="205"/>
      <c r="J45" s="226"/>
      <c r="K45" s="205">
        <f t="shared" si="39"/>
        <v>0</v>
      </c>
      <c r="L45" s="223"/>
      <c r="M45" s="205"/>
      <c r="N45" s="208"/>
      <c r="O45" s="6">
        <v>6</v>
      </c>
      <c r="P45" s="49"/>
      <c r="Q45" s="51" t="str">
        <f t="shared" si="43"/>
        <v/>
      </c>
      <c r="R45" s="52"/>
      <c r="S45" s="52"/>
      <c r="T45" s="53" t="str">
        <f t="shared" si="40"/>
        <v/>
      </c>
      <c r="U45" s="52"/>
      <c r="V45" s="52"/>
      <c r="W45" s="52"/>
      <c r="X45" s="24" t="str">
        <f t="shared" si="44"/>
        <v/>
      </c>
      <c r="Y45" s="54" t="str">
        <f t="shared" si="1"/>
        <v/>
      </c>
      <c r="Z45" s="55" t="str">
        <f t="shared" si="41"/>
        <v/>
      </c>
      <c r="AA45" s="54" t="str">
        <f>IFERROR(IF(AB45="","",IF(AB45&lt;=0.2,"Leve",IF(AB45&lt;=0.4,"Menor",IF(AB45&lt;=0.6,"Moderado",IF(AB45&lt;=0.8,"Mayor","Catastrófico"))))),"")</f>
        <v/>
      </c>
      <c r="AB45" s="55" t="str">
        <f t="shared" si="45"/>
        <v/>
      </c>
      <c r="AC45" s="56"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57"/>
      <c r="AE45" s="58"/>
      <c r="AF45" s="4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9">
        <v>7</v>
      </c>
      <c r="B46" s="212"/>
      <c r="C46" s="212"/>
      <c r="D46" s="212"/>
      <c r="E46" s="215"/>
      <c r="F46" s="212"/>
      <c r="G46" s="218"/>
      <c r="H46" s="221" t="str">
        <f>IF(G46&lt;=0,"",IF(G46&lt;=2,"Muy Baja",IF(G46&lt;=24,"Baja",IF(G46&lt;=500,"Media",IF(G46&lt;=5000,"Alta","Muy Alta")))))</f>
        <v/>
      </c>
      <c r="I46" s="203" t="str">
        <f>IF(H46="","",IF(H46="Muy Baja",0.2,IF(H46="Baja",0.4,IF(H46="Media",0.6,IF(H46="Alta",0.8,IF(H46="Muy Alta",1,))))))</f>
        <v/>
      </c>
      <c r="J46" s="224"/>
      <c r="K46" s="203">
        <f>IF(NOT(ISERROR(MATCH(J46,'Tabla Impacto'!$B$221:$B$223,0))),'Tabla Impacto'!$F$223&amp;"Por favor no seleccionar los criterios de impacto(Afectación Económica o presupuestal y Pérdida Reputacional)",J46)</f>
        <v>0</v>
      </c>
      <c r="L46" s="221" t="str">
        <f>IF(OR(K46='Tabla Impacto'!$C$11,K46='Tabla Impacto'!$D$11),"Leve",IF(OR(K46='Tabla Impacto'!$C$12,K46='Tabla Impacto'!$D$12),"Menor",IF(OR(K46='Tabla Impacto'!$C$13,K46='Tabla Impacto'!$D$13),"Moderado",IF(OR(K46='Tabla Impacto'!$C$14,K46='Tabla Impacto'!$D$14),"Mayor",IF(OR(K46='Tabla Impacto'!$C$15,K46='Tabla Impacto'!$D$15),"Catastrófico","")))))</f>
        <v/>
      </c>
      <c r="M46" s="203" t="str">
        <f>IF(L46="","",IF(L46="Leve",0.2,IF(L46="Menor",0.4,IF(L46="Moderado",0.6,IF(L46="Mayor",0.8,IF(L46="Catastrófico",1,))))))</f>
        <v/>
      </c>
      <c r="N46" s="206"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6">
        <v>1</v>
      </c>
      <c r="P46" s="49"/>
      <c r="Q46" s="51" t="str">
        <f>IF(OR(R46="Preventivo",R46="Detectivo"),"Probabilidad",IF(R46="Correctivo","Impacto",""))</f>
        <v/>
      </c>
      <c r="R46" s="52"/>
      <c r="S46" s="52"/>
      <c r="T46" s="53" t="str">
        <f>IF(AND(R46="Preventivo",S46="Automático"),"50%",IF(AND(R46="Preventivo",S46="Manual"),"40%",IF(AND(R46="Detectivo",S46="Automático"),"40%",IF(AND(R46="Detectivo",S46="Manual"),"30%",IF(AND(R46="Correctivo",S46="Automático"),"35%",IF(AND(R46="Correctivo",S46="Manual"),"25%",""))))))</f>
        <v/>
      </c>
      <c r="U46" s="52"/>
      <c r="V46" s="52"/>
      <c r="W46" s="52"/>
      <c r="X46" s="24" t="str">
        <f>IFERROR(IF(Q46="Probabilidad",(I46-(+I46*T46)),IF(Q46="Impacto",I46,"")),"")</f>
        <v/>
      </c>
      <c r="Y46" s="54" t="str">
        <f>IFERROR(IF(X46="","",IF(X46&lt;=0.2,"Muy Baja",IF(X46&lt;=0.4,"Baja",IF(X46&lt;=0.6,"Media",IF(X46&lt;=0.8,"Alta","Muy Alta"))))),"")</f>
        <v/>
      </c>
      <c r="Z46" s="55" t="str">
        <f>+X46</f>
        <v/>
      </c>
      <c r="AA46" s="54" t="str">
        <f>IFERROR(IF(AB46="","",IF(AB46&lt;=0.2,"Leve",IF(AB46&lt;=0.4,"Menor",IF(AB46&lt;=0.6,"Moderado",IF(AB46&lt;=0.8,"Mayor","Catastrófico"))))),"")</f>
        <v/>
      </c>
      <c r="AB46" s="55" t="str">
        <f>IFERROR(IF(Q46="Impacto",(M46-(+M46*T46)),IF(Q46="Probabilidad",M46,"")),"")</f>
        <v/>
      </c>
      <c r="AC46" s="56"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57"/>
      <c r="AE46" s="58"/>
      <c r="AF46" s="48"/>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10"/>
      <c r="B47" s="213"/>
      <c r="C47" s="213"/>
      <c r="D47" s="213"/>
      <c r="E47" s="216"/>
      <c r="F47" s="213"/>
      <c r="G47" s="219"/>
      <c r="H47" s="222"/>
      <c r="I47" s="204"/>
      <c r="J47" s="225"/>
      <c r="K47" s="204">
        <f t="shared" ref="K47:K51" si="47">IF(NOT(ISERROR(MATCH(J47,_xlfn.ANCHORARRAY(E58),0))),I60&amp;"Por favor no seleccionar los criterios de impacto",J47)</f>
        <v>0</v>
      </c>
      <c r="L47" s="222"/>
      <c r="M47" s="204"/>
      <c r="N47" s="207"/>
      <c r="O47" s="6">
        <v>2</v>
      </c>
      <c r="P47" s="49"/>
      <c r="Q47" s="51" t="str">
        <f>IF(OR(R47="Preventivo",R47="Detectivo"),"Probabilidad",IF(R47="Correctivo","Impacto",""))</f>
        <v/>
      </c>
      <c r="R47" s="52"/>
      <c r="S47" s="52"/>
      <c r="T47" s="53" t="str">
        <f t="shared" ref="T47:T51" si="48">IF(AND(R47="Preventivo",S47="Automático"),"50%",IF(AND(R47="Preventivo",S47="Manual"),"40%",IF(AND(R47="Detectivo",S47="Automático"),"40%",IF(AND(R47="Detectivo",S47="Manual"),"30%",IF(AND(R47="Correctivo",S47="Automático"),"35%",IF(AND(R47="Correctivo",S47="Manual"),"25%",""))))))</f>
        <v/>
      </c>
      <c r="U47" s="52"/>
      <c r="V47" s="52"/>
      <c r="W47" s="52"/>
      <c r="X47" s="24" t="str">
        <f>IFERROR(IF(AND(Q46="Probabilidad",Q47="Probabilidad"),(Z46-(+Z46*T47)),IF(Q47="Probabilidad",(I46-(+I46*T47)),IF(Q47="Impacto",Z46,""))),"")</f>
        <v/>
      </c>
      <c r="Y47" s="54" t="str">
        <f t="shared" si="1"/>
        <v/>
      </c>
      <c r="Z47" s="55" t="str">
        <f t="shared" ref="Z47:Z51" si="49">+X47</f>
        <v/>
      </c>
      <c r="AA47" s="54" t="str">
        <f t="shared" si="3"/>
        <v/>
      </c>
      <c r="AB47" s="55" t="str">
        <f>IFERROR(IF(AND(Q46="Impacto",Q47="Impacto"),(AB40-(+AB40*T47)),IF(Q47="Impacto",($M$46-(+$M$46*T47)),IF(Q47="Probabilidad",AB40,""))),"")</f>
        <v/>
      </c>
      <c r="AC47" s="56"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57"/>
      <c r="AE47" s="58"/>
      <c r="AF47" s="48"/>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10"/>
      <c r="B48" s="213"/>
      <c r="C48" s="213"/>
      <c r="D48" s="213"/>
      <c r="E48" s="216"/>
      <c r="F48" s="213"/>
      <c r="G48" s="219"/>
      <c r="H48" s="222"/>
      <c r="I48" s="204"/>
      <c r="J48" s="225"/>
      <c r="K48" s="204">
        <f t="shared" si="47"/>
        <v>0</v>
      </c>
      <c r="L48" s="222"/>
      <c r="M48" s="204"/>
      <c r="N48" s="207"/>
      <c r="O48" s="6">
        <v>3</v>
      </c>
      <c r="P48" s="50"/>
      <c r="Q48" s="51" t="str">
        <f>IF(OR(R48="Preventivo",R48="Detectivo"),"Probabilidad",IF(R48="Correctivo","Impacto",""))</f>
        <v/>
      </c>
      <c r="R48" s="52"/>
      <c r="S48" s="52"/>
      <c r="T48" s="53" t="str">
        <f t="shared" si="48"/>
        <v/>
      </c>
      <c r="U48" s="52"/>
      <c r="V48" s="52"/>
      <c r="W48" s="52"/>
      <c r="X48" s="24" t="str">
        <f>IFERROR(IF(AND(Q47="Probabilidad",Q48="Probabilidad"),(Z47-(+Z47*T48)),IF(AND(Q47="Impacto",Q48="Probabilidad"),(Z46-(+Z46*T48)),IF(Q48="Impacto",Z47,""))),"")</f>
        <v/>
      </c>
      <c r="Y48" s="54" t="str">
        <f t="shared" si="1"/>
        <v/>
      </c>
      <c r="Z48" s="55" t="str">
        <f t="shared" si="49"/>
        <v/>
      </c>
      <c r="AA48" s="54" t="str">
        <f t="shared" si="3"/>
        <v/>
      </c>
      <c r="AB48" s="55" t="str">
        <f>IFERROR(IF(AND(Q47="Impacto",Q48="Impacto"),(AB47-(+AB47*T48)),IF(AND(Q47="Probabilidad",Q48="Impacto"),(AB46-(+AB46*T48)),IF(Q48="Probabilidad",AB47,""))),"")</f>
        <v/>
      </c>
      <c r="AC48" s="56" t="str">
        <f t="shared" si="50"/>
        <v/>
      </c>
      <c r="AD48" s="57"/>
      <c r="AE48" s="58"/>
      <c r="AF48" s="48"/>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10"/>
      <c r="B49" s="213"/>
      <c r="C49" s="213"/>
      <c r="D49" s="213"/>
      <c r="E49" s="216"/>
      <c r="F49" s="213"/>
      <c r="G49" s="219"/>
      <c r="H49" s="222"/>
      <c r="I49" s="204"/>
      <c r="J49" s="225"/>
      <c r="K49" s="204">
        <f t="shared" si="47"/>
        <v>0</v>
      </c>
      <c r="L49" s="222"/>
      <c r="M49" s="204"/>
      <c r="N49" s="207"/>
      <c r="O49" s="6">
        <v>4</v>
      </c>
      <c r="P49" s="49"/>
      <c r="Q49" s="51" t="str">
        <f t="shared" ref="Q49:Q51" si="51">IF(OR(R49="Preventivo",R49="Detectivo"),"Probabilidad",IF(R49="Correctivo","Impacto",""))</f>
        <v/>
      </c>
      <c r="R49" s="52"/>
      <c r="S49" s="52"/>
      <c r="T49" s="53" t="str">
        <f t="shared" si="48"/>
        <v/>
      </c>
      <c r="U49" s="52"/>
      <c r="V49" s="52"/>
      <c r="W49" s="52"/>
      <c r="X49" s="24" t="str">
        <f t="shared" ref="X49:X51" si="52">IFERROR(IF(AND(Q48="Probabilidad",Q49="Probabilidad"),(Z48-(+Z48*T49)),IF(AND(Q48="Impacto",Q49="Probabilidad"),(Z47-(+Z47*T49)),IF(Q49="Impacto",Z48,""))),"")</f>
        <v/>
      </c>
      <c r="Y49" s="54" t="str">
        <f t="shared" si="1"/>
        <v/>
      </c>
      <c r="Z49" s="55" t="str">
        <f t="shared" si="49"/>
        <v/>
      </c>
      <c r="AA49" s="54" t="str">
        <f t="shared" si="3"/>
        <v/>
      </c>
      <c r="AB49" s="55" t="str">
        <f t="shared" ref="AB49:AB51" si="53">IFERROR(IF(AND(Q48="Impacto",Q49="Impacto"),(AB48-(+AB48*T49)),IF(AND(Q48="Probabilidad",Q49="Impacto"),(AB47-(+AB47*T49)),IF(Q49="Probabilidad",AB48,""))),"")</f>
        <v/>
      </c>
      <c r="AC49" s="5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57"/>
      <c r="AE49" s="58"/>
      <c r="AF49" s="4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10"/>
      <c r="B50" s="213"/>
      <c r="C50" s="213"/>
      <c r="D50" s="213"/>
      <c r="E50" s="216"/>
      <c r="F50" s="213"/>
      <c r="G50" s="219"/>
      <c r="H50" s="222"/>
      <c r="I50" s="204"/>
      <c r="J50" s="225"/>
      <c r="K50" s="204">
        <f t="shared" si="47"/>
        <v>0</v>
      </c>
      <c r="L50" s="222"/>
      <c r="M50" s="204"/>
      <c r="N50" s="207"/>
      <c r="O50" s="6">
        <v>5</v>
      </c>
      <c r="P50" s="49"/>
      <c r="Q50" s="51" t="str">
        <f t="shared" si="51"/>
        <v/>
      </c>
      <c r="R50" s="52"/>
      <c r="S50" s="52"/>
      <c r="T50" s="53" t="str">
        <f t="shared" si="48"/>
        <v/>
      </c>
      <c r="U50" s="52"/>
      <c r="V50" s="52"/>
      <c r="W50" s="52"/>
      <c r="X50" s="24" t="str">
        <f t="shared" si="52"/>
        <v/>
      </c>
      <c r="Y50" s="54" t="str">
        <f t="shared" si="1"/>
        <v/>
      </c>
      <c r="Z50" s="55" t="str">
        <f t="shared" si="49"/>
        <v/>
      </c>
      <c r="AA50" s="54" t="str">
        <f t="shared" si="3"/>
        <v/>
      </c>
      <c r="AB50" s="55" t="str">
        <f t="shared" si="53"/>
        <v/>
      </c>
      <c r="AC50" s="56"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57"/>
      <c r="AE50" s="58"/>
      <c r="AF50" s="4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11"/>
      <c r="B51" s="214"/>
      <c r="C51" s="214"/>
      <c r="D51" s="214"/>
      <c r="E51" s="217"/>
      <c r="F51" s="214"/>
      <c r="G51" s="220"/>
      <c r="H51" s="223"/>
      <c r="I51" s="205"/>
      <c r="J51" s="226"/>
      <c r="K51" s="205">
        <f t="shared" si="47"/>
        <v>0</v>
      </c>
      <c r="L51" s="223"/>
      <c r="M51" s="205"/>
      <c r="N51" s="208"/>
      <c r="O51" s="6">
        <v>6</v>
      </c>
      <c r="P51" s="49"/>
      <c r="Q51" s="51" t="str">
        <f t="shared" si="51"/>
        <v/>
      </c>
      <c r="R51" s="52"/>
      <c r="S51" s="52"/>
      <c r="T51" s="53" t="str">
        <f t="shared" si="48"/>
        <v/>
      </c>
      <c r="U51" s="52"/>
      <c r="V51" s="52"/>
      <c r="W51" s="52"/>
      <c r="X51" s="24" t="str">
        <f t="shared" si="52"/>
        <v/>
      </c>
      <c r="Y51" s="54" t="str">
        <f t="shared" si="1"/>
        <v/>
      </c>
      <c r="Z51" s="55" t="str">
        <f t="shared" si="49"/>
        <v/>
      </c>
      <c r="AA51" s="54" t="str">
        <f t="shared" si="3"/>
        <v/>
      </c>
      <c r="AB51" s="55" t="str">
        <f t="shared" si="53"/>
        <v/>
      </c>
      <c r="AC51" s="56" t="str">
        <f t="shared" si="54"/>
        <v/>
      </c>
      <c r="AD51" s="57"/>
      <c r="AE51" s="58"/>
      <c r="AF51" s="4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9">
        <v>8</v>
      </c>
      <c r="B52" s="212"/>
      <c r="C52" s="212"/>
      <c r="D52" s="212"/>
      <c r="E52" s="215"/>
      <c r="F52" s="212"/>
      <c r="G52" s="218"/>
      <c r="H52" s="221" t="str">
        <f>IF(G52&lt;=0,"",IF(G52&lt;=2,"Muy Baja",IF(G52&lt;=24,"Baja",IF(G52&lt;=500,"Media",IF(G52&lt;=5000,"Alta","Muy Alta")))))</f>
        <v/>
      </c>
      <c r="I52" s="203" t="str">
        <f>IF(H52="","",IF(H52="Muy Baja",0.2,IF(H52="Baja",0.4,IF(H52="Media",0.6,IF(H52="Alta",0.8,IF(H52="Muy Alta",1,))))))</f>
        <v/>
      </c>
      <c r="J52" s="224"/>
      <c r="K52" s="203">
        <f>IF(NOT(ISERROR(MATCH(J52,'Tabla Impacto'!$B$221:$B$223,0))),'Tabla Impacto'!$F$223&amp;"Por favor no seleccionar los criterios de impacto(Afectación Económica o presupuestal y Pérdida Reputacional)",J52)</f>
        <v>0</v>
      </c>
      <c r="L52" s="221" t="str">
        <f>IF(OR(K52='Tabla Impacto'!$C$11,K52='Tabla Impacto'!$D$11),"Leve",IF(OR(K52='Tabla Impacto'!$C$12,K52='Tabla Impacto'!$D$12),"Menor",IF(OR(K52='Tabla Impacto'!$C$13,K52='Tabla Impacto'!$D$13),"Moderado",IF(OR(K52='Tabla Impacto'!$C$14,K52='Tabla Impacto'!$D$14),"Mayor",IF(OR(K52='Tabla Impacto'!$C$15,K52='Tabla Impacto'!$D$15),"Catastrófico","")))))</f>
        <v/>
      </c>
      <c r="M52" s="203" t="str">
        <f>IF(L52="","",IF(L52="Leve",0.2,IF(L52="Menor",0.4,IF(L52="Moderado",0.6,IF(L52="Mayor",0.8,IF(L52="Catastrófico",1,))))))</f>
        <v/>
      </c>
      <c r="N52" s="206"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6">
        <v>1</v>
      </c>
      <c r="P52" s="49"/>
      <c r="Q52" s="51" t="str">
        <f>IF(OR(R52="Preventivo",R52="Detectivo"),"Probabilidad",IF(R52="Correctivo","Impacto",""))</f>
        <v/>
      </c>
      <c r="R52" s="52"/>
      <c r="S52" s="52"/>
      <c r="T52" s="53" t="str">
        <f>IF(AND(R52="Preventivo",S52="Automático"),"50%",IF(AND(R52="Preventivo",S52="Manual"),"40%",IF(AND(R52="Detectivo",S52="Automático"),"40%",IF(AND(R52="Detectivo",S52="Manual"),"30%",IF(AND(R52="Correctivo",S52="Automático"),"35%",IF(AND(R52="Correctivo",S52="Manual"),"25%",""))))))</f>
        <v/>
      </c>
      <c r="U52" s="52"/>
      <c r="V52" s="52"/>
      <c r="W52" s="52"/>
      <c r="X52" s="24" t="str">
        <f>IFERROR(IF(Q52="Probabilidad",(I52-(+I52*T52)),IF(Q52="Impacto",I52,"")),"")</f>
        <v/>
      </c>
      <c r="Y52" s="54" t="str">
        <f>IFERROR(IF(X52="","",IF(X52&lt;=0.2,"Muy Baja",IF(X52&lt;=0.4,"Baja",IF(X52&lt;=0.6,"Media",IF(X52&lt;=0.8,"Alta","Muy Alta"))))),"")</f>
        <v/>
      </c>
      <c r="Z52" s="55" t="str">
        <f>+X52</f>
        <v/>
      </c>
      <c r="AA52" s="54" t="str">
        <f>IFERROR(IF(AB52="","",IF(AB52&lt;=0.2,"Leve",IF(AB52&lt;=0.4,"Menor",IF(AB52&lt;=0.6,"Moderado",IF(AB52&lt;=0.8,"Mayor","Catastrófico"))))),"")</f>
        <v/>
      </c>
      <c r="AB52" s="55" t="str">
        <f>IFERROR(IF(Q52="Impacto",(M52-(+M52*T52)),IF(Q52="Probabilidad",M52,"")),"")</f>
        <v/>
      </c>
      <c r="AC52" s="56"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57"/>
      <c r="AE52" s="58"/>
      <c r="AF52" s="4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10"/>
      <c r="B53" s="213"/>
      <c r="C53" s="213"/>
      <c r="D53" s="213"/>
      <c r="E53" s="216"/>
      <c r="F53" s="213"/>
      <c r="G53" s="219"/>
      <c r="H53" s="222"/>
      <c r="I53" s="204"/>
      <c r="J53" s="225"/>
      <c r="K53" s="204">
        <f>IF(NOT(ISERROR(MATCH(J53,_xlfn.ANCHORARRAY(E64),0))),I66&amp;"Por favor no seleccionar los criterios de impacto",J53)</f>
        <v>0</v>
      </c>
      <c r="L53" s="222"/>
      <c r="M53" s="204"/>
      <c r="N53" s="207"/>
      <c r="O53" s="6">
        <v>2</v>
      </c>
      <c r="P53" s="49"/>
      <c r="Q53" s="51" t="str">
        <f>IF(OR(R53="Preventivo",R53="Detectivo"),"Probabilidad",IF(R53="Correctivo","Impacto",""))</f>
        <v/>
      </c>
      <c r="R53" s="52"/>
      <c r="S53" s="52"/>
      <c r="T53" s="53" t="str">
        <f t="shared" ref="T53:T57" si="55">IF(AND(R53="Preventivo",S53="Automático"),"50%",IF(AND(R53="Preventivo",S53="Manual"),"40%",IF(AND(R53="Detectivo",S53="Automático"),"40%",IF(AND(R53="Detectivo",S53="Manual"),"30%",IF(AND(R53="Correctivo",S53="Automático"),"35%",IF(AND(R53="Correctivo",S53="Manual"),"25%",""))))))</f>
        <v/>
      </c>
      <c r="U53" s="52"/>
      <c r="V53" s="52"/>
      <c r="W53" s="52"/>
      <c r="X53" s="24" t="str">
        <f>IFERROR(IF(AND(Q52="Probabilidad",Q53="Probabilidad"),(Z52-(+Z52*T53)),IF(Q53="Probabilidad",(I52-(+I52*T53)),IF(Q53="Impacto",Z52,""))),"")</f>
        <v/>
      </c>
      <c r="Y53" s="54" t="str">
        <f t="shared" si="1"/>
        <v/>
      </c>
      <c r="Z53" s="55" t="str">
        <f t="shared" ref="Z53:Z57" si="56">+X53</f>
        <v/>
      </c>
      <c r="AA53" s="54" t="str">
        <f t="shared" si="3"/>
        <v/>
      </c>
      <c r="AB53" s="55" t="str">
        <f>IFERROR(IF(AND(Q52="Impacto",Q53="Impacto"),(AB46-(+AB46*T53)),IF(Q53="Impacto",($M$52-(+$M$52*T53)),IF(Q53="Probabilidad",AB46,""))),"")</f>
        <v/>
      </c>
      <c r="AC53" s="56"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57"/>
      <c r="AE53" s="58"/>
      <c r="AF53" s="4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10"/>
      <c r="B54" s="213"/>
      <c r="C54" s="213"/>
      <c r="D54" s="213"/>
      <c r="E54" s="216"/>
      <c r="F54" s="213"/>
      <c r="G54" s="219"/>
      <c r="H54" s="222"/>
      <c r="I54" s="204"/>
      <c r="J54" s="225"/>
      <c r="K54" s="204">
        <f>IF(NOT(ISERROR(MATCH(J54,_xlfn.ANCHORARRAY(E65),0))),I67&amp;"Por favor no seleccionar los criterios de impacto",J54)</f>
        <v>0</v>
      </c>
      <c r="L54" s="222"/>
      <c r="M54" s="204"/>
      <c r="N54" s="207"/>
      <c r="O54" s="6">
        <v>3</v>
      </c>
      <c r="P54" s="50"/>
      <c r="Q54" s="51" t="str">
        <f>IF(OR(R54="Preventivo",R54="Detectivo"),"Probabilidad",IF(R54="Correctivo","Impacto",""))</f>
        <v/>
      </c>
      <c r="R54" s="52"/>
      <c r="S54" s="52"/>
      <c r="T54" s="53" t="str">
        <f t="shared" si="55"/>
        <v/>
      </c>
      <c r="U54" s="52"/>
      <c r="V54" s="52"/>
      <c r="W54" s="52"/>
      <c r="X54" s="24" t="str">
        <f>IFERROR(IF(AND(Q53="Probabilidad",Q54="Probabilidad"),(Z53-(+Z53*T54)),IF(AND(Q53="Impacto",Q54="Probabilidad"),(Z52-(+Z52*T54)),IF(Q54="Impacto",Z53,""))),"")</f>
        <v/>
      </c>
      <c r="Y54" s="54" t="str">
        <f t="shared" si="1"/>
        <v/>
      </c>
      <c r="Z54" s="55" t="str">
        <f t="shared" si="56"/>
        <v/>
      </c>
      <c r="AA54" s="54" t="str">
        <f t="shared" si="3"/>
        <v/>
      </c>
      <c r="AB54" s="55" t="str">
        <f>IFERROR(IF(AND(Q53="Impacto",Q54="Impacto"),(AB53-(+AB53*T54)),IF(AND(Q53="Probabilidad",Q54="Impacto"),(AB52-(+AB52*T54)),IF(Q54="Probabilidad",AB53,""))),"")</f>
        <v/>
      </c>
      <c r="AC54" s="56" t="str">
        <f t="shared" si="57"/>
        <v/>
      </c>
      <c r="AD54" s="57"/>
      <c r="AE54" s="58"/>
      <c r="AF54" s="4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10"/>
      <c r="B55" s="213"/>
      <c r="C55" s="213"/>
      <c r="D55" s="213"/>
      <c r="E55" s="216"/>
      <c r="F55" s="213"/>
      <c r="G55" s="219"/>
      <c r="H55" s="222"/>
      <c r="I55" s="204"/>
      <c r="J55" s="225"/>
      <c r="K55" s="204">
        <f>IF(NOT(ISERROR(MATCH(J55,_xlfn.ANCHORARRAY(E66),0))),I68&amp;"Por favor no seleccionar los criterios de impacto",J55)</f>
        <v>0</v>
      </c>
      <c r="L55" s="222"/>
      <c r="M55" s="204"/>
      <c r="N55" s="207"/>
      <c r="O55" s="6">
        <v>4</v>
      </c>
      <c r="P55" s="49"/>
      <c r="Q55" s="51" t="str">
        <f t="shared" ref="Q55:Q57" si="58">IF(OR(R55="Preventivo",R55="Detectivo"),"Probabilidad",IF(R55="Correctivo","Impacto",""))</f>
        <v/>
      </c>
      <c r="R55" s="52"/>
      <c r="S55" s="52"/>
      <c r="T55" s="53" t="str">
        <f t="shared" si="55"/>
        <v/>
      </c>
      <c r="U55" s="52"/>
      <c r="V55" s="52"/>
      <c r="W55" s="52"/>
      <c r="X55" s="24" t="str">
        <f t="shared" ref="X55:X57" si="59">IFERROR(IF(AND(Q54="Probabilidad",Q55="Probabilidad"),(Z54-(+Z54*T55)),IF(AND(Q54="Impacto",Q55="Probabilidad"),(Z53-(+Z53*T55)),IF(Q55="Impacto",Z54,""))),"")</f>
        <v/>
      </c>
      <c r="Y55" s="54" t="str">
        <f t="shared" si="1"/>
        <v/>
      </c>
      <c r="Z55" s="55" t="str">
        <f t="shared" si="56"/>
        <v/>
      </c>
      <c r="AA55" s="54" t="str">
        <f t="shared" si="3"/>
        <v/>
      </c>
      <c r="AB55" s="55" t="str">
        <f t="shared" ref="AB55:AB57" si="60">IFERROR(IF(AND(Q54="Impacto",Q55="Impacto"),(AB54-(+AB54*T55)),IF(AND(Q54="Probabilidad",Q55="Impacto"),(AB53-(+AB53*T55)),IF(Q55="Probabilidad",AB54,""))),"")</f>
        <v/>
      </c>
      <c r="AC55" s="5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57"/>
      <c r="AE55" s="58"/>
      <c r="AF55" s="4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10"/>
      <c r="B56" s="213"/>
      <c r="C56" s="213"/>
      <c r="D56" s="213"/>
      <c r="E56" s="216"/>
      <c r="F56" s="213"/>
      <c r="G56" s="219"/>
      <c r="H56" s="222"/>
      <c r="I56" s="204"/>
      <c r="J56" s="225"/>
      <c r="K56" s="204">
        <f>IF(NOT(ISERROR(MATCH(J56,_xlfn.ANCHORARRAY(E67),0))),I69&amp;"Por favor no seleccionar los criterios de impacto",J56)</f>
        <v>0</v>
      </c>
      <c r="L56" s="222"/>
      <c r="M56" s="204"/>
      <c r="N56" s="207"/>
      <c r="O56" s="6">
        <v>5</v>
      </c>
      <c r="P56" s="49"/>
      <c r="Q56" s="51" t="str">
        <f t="shared" si="58"/>
        <v/>
      </c>
      <c r="R56" s="52"/>
      <c r="S56" s="52"/>
      <c r="T56" s="53" t="str">
        <f t="shared" si="55"/>
        <v/>
      </c>
      <c r="U56" s="52"/>
      <c r="V56" s="52"/>
      <c r="W56" s="52"/>
      <c r="X56" s="24" t="str">
        <f t="shared" si="59"/>
        <v/>
      </c>
      <c r="Y56" s="54" t="str">
        <f t="shared" si="1"/>
        <v/>
      </c>
      <c r="Z56" s="55" t="str">
        <f t="shared" si="56"/>
        <v/>
      </c>
      <c r="AA56" s="54" t="str">
        <f t="shared" si="3"/>
        <v/>
      </c>
      <c r="AB56" s="55" t="str">
        <f t="shared" si="60"/>
        <v/>
      </c>
      <c r="AC56" s="56"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57"/>
      <c r="AE56" s="58"/>
      <c r="AF56" s="4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11"/>
      <c r="B57" s="214"/>
      <c r="C57" s="214"/>
      <c r="D57" s="214"/>
      <c r="E57" s="217"/>
      <c r="F57" s="214"/>
      <c r="G57" s="220"/>
      <c r="H57" s="223"/>
      <c r="I57" s="205"/>
      <c r="J57" s="226"/>
      <c r="K57" s="205">
        <f>IF(NOT(ISERROR(MATCH(J57,_xlfn.ANCHORARRAY(E68),0))),I70&amp;"Por favor no seleccionar los criterios de impacto",J57)</f>
        <v>0</v>
      </c>
      <c r="L57" s="223"/>
      <c r="M57" s="205"/>
      <c r="N57" s="208"/>
      <c r="O57" s="6">
        <v>6</v>
      </c>
      <c r="P57" s="49"/>
      <c r="Q57" s="51" t="str">
        <f t="shared" si="58"/>
        <v/>
      </c>
      <c r="R57" s="52"/>
      <c r="S57" s="52"/>
      <c r="T57" s="53" t="str">
        <f t="shared" si="55"/>
        <v/>
      </c>
      <c r="U57" s="52"/>
      <c r="V57" s="52"/>
      <c r="W57" s="52"/>
      <c r="X57" s="24" t="str">
        <f t="shared" si="59"/>
        <v/>
      </c>
      <c r="Y57" s="54" t="str">
        <f t="shared" si="1"/>
        <v/>
      </c>
      <c r="Z57" s="55" t="str">
        <f t="shared" si="56"/>
        <v/>
      </c>
      <c r="AA57" s="54" t="str">
        <f t="shared" si="3"/>
        <v/>
      </c>
      <c r="AB57" s="55" t="str">
        <f t="shared" si="60"/>
        <v/>
      </c>
      <c r="AC57" s="56" t="str">
        <f t="shared" si="61"/>
        <v/>
      </c>
      <c r="AD57" s="57"/>
      <c r="AE57" s="58"/>
      <c r="AF57" s="4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9">
        <v>9</v>
      </c>
      <c r="B58" s="212"/>
      <c r="C58" s="212"/>
      <c r="D58" s="212"/>
      <c r="E58" s="215"/>
      <c r="F58" s="212"/>
      <c r="G58" s="218"/>
      <c r="H58" s="221" t="str">
        <f>IF(G58&lt;=0,"",IF(G58&lt;=2,"Muy Baja",IF(G58&lt;=24,"Baja",IF(G58&lt;=500,"Media",IF(G58&lt;=5000,"Alta","Muy Alta")))))</f>
        <v/>
      </c>
      <c r="I58" s="203" t="str">
        <f>IF(H58="","",IF(H58="Muy Baja",0.2,IF(H58="Baja",0.4,IF(H58="Media",0.6,IF(H58="Alta",0.8,IF(H58="Muy Alta",1,))))))</f>
        <v/>
      </c>
      <c r="J58" s="224"/>
      <c r="K58" s="203">
        <f>IF(NOT(ISERROR(MATCH(J58,'Tabla Impacto'!$B$221:$B$223,0))),'Tabla Impacto'!$F$223&amp;"Por favor no seleccionar los criterios de impacto(Afectación Económica o presupuestal y Pérdida Reputacional)",J58)</f>
        <v>0</v>
      </c>
      <c r="L58" s="221" t="str">
        <f>IF(OR(K58='Tabla Impacto'!$C$11,K58='Tabla Impacto'!$D$11),"Leve",IF(OR(K58='Tabla Impacto'!$C$12,K58='Tabla Impacto'!$D$12),"Menor",IF(OR(K58='Tabla Impacto'!$C$13,K58='Tabla Impacto'!$D$13),"Moderado",IF(OR(K58='Tabla Impacto'!$C$14,K58='Tabla Impacto'!$D$14),"Mayor",IF(OR(K58='Tabla Impacto'!$C$15,K58='Tabla Impacto'!$D$15),"Catastrófico","")))))</f>
        <v/>
      </c>
      <c r="M58" s="203" t="str">
        <f>IF(L58="","",IF(L58="Leve",0.2,IF(L58="Menor",0.4,IF(L58="Moderado",0.6,IF(L58="Mayor",0.8,IF(L58="Catastrófico",1,))))))</f>
        <v/>
      </c>
      <c r="N58" s="206"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6">
        <v>1</v>
      </c>
      <c r="P58" s="49"/>
      <c r="Q58" s="51" t="str">
        <f>IF(OR(R58="Preventivo",R58="Detectivo"),"Probabilidad",IF(R58="Correctivo","Impacto",""))</f>
        <v/>
      </c>
      <c r="R58" s="52"/>
      <c r="S58" s="52"/>
      <c r="T58" s="53" t="str">
        <f>IF(AND(R58="Preventivo",S58="Automático"),"50%",IF(AND(R58="Preventivo",S58="Manual"),"40%",IF(AND(R58="Detectivo",S58="Automático"),"40%",IF(AND(R58="Detectivo",S58="Manual"),"30%",IF(AND(R58="Correctivo",S58="Automático"),"35%",IF(AND(R58="Correctivo",S58="Manual"),"25%",""))))))</f>
        <v/>
      </c>
      <c r="U58" s="52"/>
      <c r="V58" s="52"/>
      <c r="W58" s="52"/>
      <c r="X58" s="24" t="str">
        <f>IFERROR(IF(Q58="Probabilidad",(I58-(+I58*T58)),IF(Q58="Impacto",I58,"")),"")</f>
        <v/>
      </c>
      <c r="Y58" s="54" t="str">
        <f>IFERROR(IF(X58="","",IF(X58&lt;=0.2,"Muy Baja",IF(X58&lt;=0.4,"Baja",IF(X58&lt;=0.6,"Media",IF(X58&lt;=0.8,"Alta","Muy Alta"))))),"")</f>
        <v/>
      </c>
      <c r="Z58" s="55" t="str">
        <f>+X58</f>
        <v/>
      </c>
      <c r="AA58" s="54" t="str">
        <f>IFERROR(IF(AB58="","",IF(AB58&lt;=0.2,"Leve",IF(AB58&lt;=0.4,"Menor",IF(AB58&lt;=0.6,"Moderado",IF(AB58&lt;=0.8,"Mayor","Catastrófico"))))),"")</f>
        <v/>
      </c>
      <c r="AB58" s="55" t="str">
        <f>IFERROR(IF(Q58="Impacto",(M58-(+M58*T58)),IF(Q58="Probabilidad",M58,"")),"")</f>
        <v/>
      </c>
      <c r="AC58" s="56"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7"/>
      <c r="AE58" s="58"/>
      <c r="AF58" s="4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10"/>
      <c r="B59" s="213"/>
      <c r="C59" s="213"/>
      <c r="D59" s="213"/>
      <c r="E59" s="216"/>
      <c r="F59" s="213"/>
      <c r="G59" s="219"/>
      <c r="H59" s="222"/>
      <c r="I59" s="204"/>
      <c r="J59" s="225"/>
      <c r="K59" s="204">
        <f>IF(NOT(ISERROR(MATCH(J59,_xlfn.ANCHORARRAY(E70),0))),I72&amp;"Por favor no seleccionar los criterios de impacto",J59)</f>
        <v>0</v>
      </c>
      <c r="L59" s="222"/>
      <c r="M59" s="204"/>
      <c r="N59" s="207"/>
      <c r="O59" s="6">
        <v>2</v>
      </c>
      <c r="P59" s="49"/>
      <c r="Q59" s="51" t="str">
        <f>IF(OR(R59="Preventivo",R59="Detectivo"),"Probabilidad",IF(R59="Correctivo","Impacto",""))</f>
        <v/>
      </c>
      <c r="R59" s="52"/>
      <c r="S59" s="52"/>
      <c r="T59" s="53" t="str">
        <f t="shared" ref="T59:T63" si="62">IF(AND(R59="Preventivo",S59="Automático"),"50%",IF(AND(R59="Preventivo",S59="Manual"),"40%",IF(AND(R59="Detectivo",S59="Automático"),"40%",IF(AND(R59="Detectivo",S59="Manual"),"30%",IF(AND(R59="Correctivo",S59="Automático"),"35%",IF(AND(R59="Correctivo",S59="Manual"),"25%",""))))))</f>
        <v/>
      </c>
      <c r="U59" s="52"/>
      <c r="V59" s="52"/>
      <c r="W59" s="52"/>
      <c r="X59" s="24" t="str">
        <f>IFERROR(IF(AND(Q58="Probabilidad",Q59="Probabilidad"),(Z58-(+Z58*T59)),IF(Q59="Probabilidad",(I58-(+I58*T59)),IF(Q59="Impacto",Z58,""))),"")</f>
        <v/>
      </c>
      <c r="Y59" s="54" t="str">
        <f t="shared" si="1"/>
        <v/>
      </c>
      <c r="Z59" s="55" t="str">
        <f t="shared" ref="Z59:Z63" si="63">+X59</f>
        <v/>
      </c>
      <c r="AA59" s="54" t="str">
        <f t="shared" si="3"/>
        <v/>
      </c>
      <c r="AB59" s="55" t="str">
        <f>IFERROR(IF(AND(Q58="Impacto",Q59="Impacto"),(AB52-(+AB52*T59)),IF(Q59="Impacto",($M$58-(+$M$58*T59)),IF(Q59="Probabilidad",AB52,""))),"")</f>
        <v/>
      </c>
      <c r="AC59" s="56"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57"/>
      <c r="AE59" s="58"/>
      <c r="AF59" s="4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10"/>
      <c r="B60" s="213"/>
      <c r="C60" s="213"/>
      <c r="D60" s="213"/>
      <c r="E60" s="216"/>
      <c r="F60" s="213"/>
      <c r="G60" s="219"/>
      <c r="H60" s="222"/>
      <c r="I60" s="204"/>
      <c r="J60" s="225"/>
      <c r="K60" s="204">
        <f>IF(NOT(ISERROR(MATCH(J60,_xlfn.ANCHORARRAY(E71),0))),I73&amp;"Por favor no seleccionar los criterios de impacto",J60)</f>
        <v>0</v>
      </c>
      <c r="L60" s="222"/>
      <c r="M60" s="204"/>
      <c r="N60" s="207"/>
      <c r="O60" s="6">
        <v>3</v>
      </c>
      <c r="P60" s="50"/>
      <c r="Q60" s="51" t="str">
        <f>IF(OR(R60="Preventivo",R60="Detectivo"),"Probabilidad",IF(R60="Correctivo","Impacto",""))</f>
        <v/>
      </c>
      <c r="R60" s="52"/>
      <c r="S60" s="52"/>
      <c r="T60" s="53" t="str">
        <f t="shared" si="62"/>
        <v/>
      </c>
      <c r="U60" s="52"/>
      <c r="V60" s="52"/>
      <c r="W60" s="52"/>
      <c r="X60" s="24" t="str">
        <f>IFERROR(IF(AND(Q59="Probabilidad",Q60="Probabilidad"),(Z59-(+Z59*T60)),IF(AND(Q59="Impacto",Q60="Probabilidad"),(Z58-(+Z58*T60)),IF(Q60="Impacto",Z59,""))),"")</f>
        <v/>
      </c>
      <c r="Y60" s="54" t="str">
        <f t="shared" si="1"/>
        <v/>
      </c>
      <c r="Z60" s="55" t="str">
        <f t="shared" si="63"/>
        <v/>
      </c>
      <c r="AA60" s="54" t="str">
        <f t="shared" si="3"/>
        <v/>
      </c>
      <c r="AB60" s="55" t="str">
        <f>IFERROR(IF(AND(Q59="Impacto",Q60="Impacto"),(AB59-(+AB59*T60)),IF(AND(Q59="Probabilidad",Q60="Impacto"),(AB58-(+AB58*T60)),IF(Q60="Probabilidad",AB59,""))),"")</f>
        <v/>
      </c>
      <c r="AC60" s="56" t="str">
        <f t="shared" si="64"/>
        <v/>
      </c>
      <c r="AD60" s="57"/>
      <c r="AE60" s="58"/>
      <c r="AF60" s="4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10"/>
      <c r="B61" s="213"/>
      <c r="C61" s="213"/>
      <c r="D61" s="213"/>
      <c r="E61" s="216"/>
      <c r="F61" s="213"/>
      <c r="G61" s="219"/>
      <c r="H61" s="222"/>
      <c r="I61" s="204"/>
      <c r="J61" s="225"/>
      <c r="K61" s="204">
        <f>IF(NOT(ISERROR(MATCH(J61,_xlfn.ANCHORARRAY(E72),0))),I74&amp;"Por favor no seleccionar los criterios de impacto",J61)</f>
        <v>0</v>
      </c>
      <c r="L61" s="222"/>
      <c r="M61" s="204"/>
      <c r="N61" s="207"/>
      <c r="O61" s="6">
        <v>4</v>
      </c>
      <c r="P61" s="49"/>
      <c r="Q61" s="51" t="str">
        <f t="shared" ref="Q61:Q63" si="65">IF(OR(R61="Preventivo",R61="Detectivo"),"Probabilidad",IF(R61="Correctivo","Impacto",""))</f>
        <v/>
      </c>
      <c r="R61" s="52"/>
      <c r="S61" s="52"/>
      <c r="T61" s="53" t="str">
        <f t="shared" si="62"/>
        <v/>
      </c>
      <c r="U61" s="52"/>
      <c r="V61" s="52"/>
      <c r="W61" s="52"/>
      <c r="X61" s="24" t="str">
        <f t="shared" ref="X61:X63" si="66">IFERROR(IF(AND(Q60="Probabilidad",Q61="Probabilidad"),(Z60-(+Z60*T61)),IF(AND(Q60="Impacto",Q61="Probabilidad"),(Z59-(+Z59*T61)),IF(Q61="Impacto",Z60,""))),"")</f>
        <v/>
      </c>
      <c r="Y61" s="54" t="str">
        <f t="shared" si="1"/>
        <v/>
      </c>
      <c r="Z61" s="55" t="str">
        <f t="shared" si="63"/>
        <v/>
      </c>
      <c r="AA61" s="54" t="str">
        <f t="shared" si="3"/>
        <v/>
      </c>
      <c r="AB61" s="55" t="str">
        <f t="shared" ref="AB61:AB63" si="67">IFERROR(IF(AND(Q60="Impacto",Q61="Impacto"),(AB60-(+AB60*T61)),IF(AND(Q60="Probabilidad",Q61="Impacto"),(AB59-(+AB59*T61)),IF(Q61="Probabilidad",AB60,""))),"")</f>
        <v/>
      </c>
      <c r="AC61" s="5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57"/>
      <c r="AE61" s="58"/>
      <c r="AF61" s="4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10"/>
      <c r="B62" s="213"/>
      <c r="C62" s="213"/>
      <c r="D62" s="213"/>
      <c r="E62" s="216"/>
      <c r="F62" s="213"/>
      <c r="G62" s="219"/>
      <c r="H62" s="222"/>
      <c r="I62" s="204"/>
      <c r="J62" s="225"/>
      <c r="K62" s="204">
        <f>IF(NOT(ISERROR(MATCH(J62,_xlfn.ANCHORARRAY(E73),0))),I75&amp;"Por favor no seleccionar los criterios de impacto",J62)</f>
        <v>0</v>
      </c>
      <c r="L62" s="222"/>
      <c r="M62" s="204"/>
      <c r="N62" s="207"/>
      <c r="O62" s="6">
        <v>5</v>
      </c>
      <c r="P62" s="49"/>
      <c r="Q62" s="51" t="str">
        <f t="shared" si="65"/>
        <v/>
      </c>
      <c r="R62" s="52"/>
      <c r="S62" s="52"/>
      <c r="T62" s="53" t="str">
        <f t="shared" si="62"/>
        <v/>
      </c>
      <c r="U62" s="52"/>
      <c r="V62" s="52"/>
      <c r="W62" s="52"/>
      <c r="X62" s="24" t="str">
        <f t="shared" si="66"/>
        <v/>
      </c>
      <c r="Y62" s="54" t="str">
        <f t="shared" si="1"/>
        <v/>
      </c>
      <c r="Z62" s="55" t="str">
        <f t="shared" si="63"/>
        <v/>
      </c>
      <c r="AA62" s="54" t="str">
        <f t="shared" si="3"/>
        <v/>
      </c>
      <c r="AB62" s="55" t="str">
        <f t="shared" si="67"/>
        <v/>
      </c>
      <c r="AC62" s="56"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57"/>
      <c r="AE62" s="58"/>
      <c r="AF62" s="4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11"/>
      <c r="B63" s="214"/>
      <c r="C63" s="214"/>
      <c r="D63" s="214"/>
      <c r="E63" s="217"/>
      <c r="F63" s="214"/>
      <c r="G63" s="220"/>
      <c r="H63" s="223"/>
      <c r="I63" s="205"/>
      <c r="J63" s="226"/>
      <c r="K63" s="205">
        <f>IF(NOT(ISERROR(MATCH(J63,_xlfn.ANCHORARRAY(E74),0))),I76&amp;"Por favor no seleccionar los criterios de impacto",J63)</f>
        <v>0</v>
      </c>
      <c r="L63" s="223"/>
      <c r="M63" s="205"/>
      <c r="N63" s="208"/>
      <c r="O63" s="6">
        <v>6</v>
      </c>
      <c r="P63" s="49"/>
      <c r="Q63" s="51" t="str">
        <f t="shared" si="65"/>
        <v/>
      </c>
      <c r="R63" s="52"/>
      <c r="S63" s="52"/>
      <c r="T63" s="53" t="str">
        <f t="shared" si="62"/>
        <v/>
      </c>
      <c r="U63" s="52"/>
      <c r="V63" s="52"/>
      <c r="W63" s="52"/>
      <c r="X63" s="24" t="str">
        <f t="shared" si="66"/>
        <v/>
      </c>
      <c r="Y63" s="54" t="str">
        <f t="shared" si="1"/>
        <v/>
      </c>
      <c r="Z63" s="55" t="str">
        <f t="shared" si="63"/>
        <v/>
      </c>
      <c r="AA63" s="54" t="str">
        <f t="shared" si="3"/>
        <v/>
      </c>
      <c r="AB63" s="55" t="str">
        <f t="shared" si="67"/>
        <v/>
      </c>
      <c r="AC63" s="56" t="str">
        <f t="shared" si="68"/>
        <v/>
      </c>
      <c r="AD63" s="57"/>
      <c r="AE63" s="58"/>
      <c r="AF63" s="4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9">
        <v>10</v>
      </c>
      <c r="B64" s="212"/>
      <c r="C64" s="212"/>
      <c r="D64" s="212"/>
      <c r="E64" s="215"/>
      <c r="F64" s="212"/>
      <c r="G64" s="218"/>
      <c r="H64" s="221" t="str">
        <f>IF(G64&lt;=0,"",IF(G64&lt;=2,"Muy Baja",IF(G64&lt;=24,"Baja",IF(G64&lt;=500,"Media",IF(G64&lt;=5000,"Alta","Muy Alta")))))</f>
        <v/>
      </c>
      <c r="I64" s="203" t="str">
        <f>IF(H64="","",IF(H64="Muy Baja",0.2,IF(H64="Baja",0.4,IF(H64="Media",0.6,IF(H64="Alta",0.8,IF(H64="Muy Alta",1,))))))</f>
        <v/>
      </c>
      <c r="J64" s="224"/>
      <c r="K64" s="203">
        <f>IF(NOT(ISERROR(MATCH(J64,'Tabla Impacto'!$B$221:$B$223,0))),'Tabla Impacto'!$F$223&amp;"Por favor no seleccionar los criterios de impacto(Afectación Económica o presupuestal y Pérdida Reputacional)",J64)</f>
        <v>0</v>
      </c>
      <c r="L64" s="221" t="str">
        <f>IF(OR(K64='Tabla Impacto'!$C$11,K64='Tabla Impacto'!$D$11),"Leve",IF(OR(K64='Tabla Impacto'!$C$12,K64='Tabla Impacto'!$D$12),"Menor",IF(OR(K64='Tabla Impacto'!$C$13,K64='Tabla Impacto'!$D$13),"Moderado",IF(OR(K64='Tabla Impacto'!$C$14,K64='Tabla Impacto'!$D$14),"Mayor",IF(OR(K64='Tabla Impacto'!$C$15,K64='Tabla Impacto'!$D$15),"Catastrófico","")))))</f>
        <v/>
      </c>
      <c r="M64" s="203" t="str">
        <f>IF(L64="","",IF(L64="Leve",0.2,IF(L64="Menor",0.4,IF(L64="Moderado",0.6,IF(L64="Mayor",0.8,IF(L64="Catastrófico",1,))))))</f>
        <v/>
      </c>
      <c r="N64" s="206"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6">
        <v>1</v>
      </c>
      <c r="P64" s="49"/>
      <c r="Q64" s="51" t="str">
        <f>IF(OR(R64="Preventivo",R64="Detectivo"),"Probabilidad",IF(R64="Correctivo","Impacto",""))</f>
        <v/>
      </c>
      <c r="R64" s="52"/>
      <c r="S64" s="52"/>
      <c r="T64" s="53" t="str">
        <f>IF(AND(R64="Preventivo",S64="Automático"),"50%",IF(AND(R64="Preventivo",S64="Manual"),"40%",IF(AND(R64="Detectivo",S64="Automático"),"40%",IF(AND(R64="Detectivo",S64="Manual"),"30%",IF(AND(R64="Correctivo",S64="Automático"),"35%",IF(AND(R64="Correctivo",S64="Manual"),"25%",""))))))</f>
        <v/>
      </c>
      <c r="U64" s="52"/>
      <c r="V64" s="52"/>
      <c r="W64" s="52"/>
      <c r="X64" s="24" t="str">
        <f>IFERROR(IF(Q64="Probabilidad",(I64-(+I64*T64)),IF(Q64="Impacto",I64,"")),"")</f>
        <v/>
      </c>
      <c r="Y64" s="54" t="str">
        <f>IFERROR(IF(X64="","",IF(X64&lt;=0.2,"Muy Baja",IF(X64&lt;=0.4,"Baja",IF(X64&lt;=0.6,"Media",IF(X64&lt;=0.8,"Alta","Muy Alta"))))),"")</f>
        <v/>
      </c>
      <c r="Z64" s="55" t="str">
        <f>+X64</f>
        <v/>
      </c>
      <c r="AA64" s="54" t="str">
        <f>IFERROR(IF(AB64="","",IF(AB64&lt;=0.2,"Leve",IF(AB64&lt;=0.4,"Menor",IF(AB64&lt;=0.6,"Moderado",IF(AB64&lt;=0.8,"Mayor","Catastrófico"))))),"")</f>
        <v/>
      </c>
      <c r="AB64" s="55" t="str">
        <f>IFERROR(IF(Q64="Impacto",(M64-(+M64*T64)),IF(Q64="Probabilidad",M64,"")),"")</f>
        <v/>
      </c>
      <c r="AC64" s="56"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7"/>
      <c r="AE64" s="58"/>
      <c r="AF64" s="4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10"/>
      <c r="B65" s="213"/>
      <c r="C65" s="213"/>
      <c r="D65" s="213"/>
      <c r="E65" s="216"/>
      <c r="F65" s="213"/>
      <c r="G65" s="219"/>
      <c r="H65" s="222"/>
      <c r="I65" s="204"/>
      <c r="J65" s="225"/>
      <c r="K65" s="204">
        <f>IF(NOT(ISERROR(MATCH(J65,_xlfn.ANCHORARRAY(E76),0))),I78&amp;"Por favor no seleccionar los criterios de impacto",J65)</f>
        <v>0</v>
      </c>
      <c r="L65" s="222"/>
      <c r="M65" s="204"/>
      <c r="N65" s="207"/>
      <c r="O65" s="6">
        <v>2</v>
      </c>
      <c r="P65" s="49"/>
      <c r="Q65" s="51" t="str">
        <f>IF(OR(R65="Preventivo",R65="Detectivo"),"Probabilidad",IF(R65="Correctivo","Impacto",""))</f>
        <v/>
      </c>
      <c r="R65" s="52"/>
      <c r="S65" s="52"/>
      <c r="T65" s="53" t="str">
        <f t="shared" ref="T65:T69" si="69">IF(AND(R65="Preventivo",S65="Automático"),"50%",IF(AND(R65="Preventivo",S65="Manual"),"40%",IF(AND(R65="Detectivo",S65="Automático"),"40%",IF(AND(R65="Detectivo",S65="Manual"),"30%",IF(AND(R65="Correctivo",S65="Automático"),"35%",IF(AND(R65="Correctivo",S65="Manual"),"25%",""))))))</f>
        <v/>
      </c>
      <c r="U65" s="52"/>
      <c r="V65" s="52"/>
      <c r="W65" s="52"/>
      <c r="X65" s="24" t="str">
        <f>IFERROR(IF(AND(Q64="Probabilidad",Q65="Probabilidad"),(Z64-(+Z64*T65)),IF(Q65="Probabilidad",(I64-(+I64*T65)),IF(Q65="Impacto",Z64,""))),"")</f>
        <v/>
      </c>
      <c r="Y65" s="54" t="str">
        <f t="shared" si="1"/>
        <v/>
      </c>
      <c r="Z65" s="55" t="str">
        <f t="shared" ref="Z65:Z69" si="70">+X65</f>
        <v/>
      </c>
      <c r="AA65" s="54" t="str">
        <f t="shared" si="3"/>
        <v/>
      </c>
      <c r="AB65" s="55" t="str">
        <f>IFERROR(IF(AND(Q64="Impacto",Q65="Impacto"),(AB58-(+AB58*T65)),IF(Q65="Impacto",($M$64-(+$M$64*T65)),IF(Q65="Probabilidad",AB58,""))),"")</f>
        <v/>
      </c>
      <c r="AC65" s="56"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57"/>
      <c r="AE65" s="58"/>
      <c r="AF65" s="48"/>
      <c r="AG65" s="59"/>
      <c r="AH65" s="59"/>
      <c r="AI65" s="58"/>
      <c r="AJ65" s="48"/>
    </row>
    <row r="66" spans="1:36" ht="151.5" customHeight="1" x14ac:dyDescent="0.3">
      <c r="A66" s="210"/>
      <c r="B66" s="213"/>
      <c r="C66" s="213"/>
      <c r="D66" s="213"/>
      <c r="E66" s="216"/>
      <c r="F66" s="213"/>
      <c r="G66" s="219"/>
      <c r="H66" s="222"/>
      <c r="I66" s="204"/>
      <c r="J66" s="225"/>
      <c r="K66" s="204">
        <f>IF(NOT(ISERROR(MATCH(J66,_xlfn.ANCHORARRAY(E77),0))),I79&amp;"Por favor no seleccionar los criterios de impacto",J66)</f>
        <v>0</v>
      </c>
      <c r="L66" s="222"/>
      <c r="M66" s="204"/>
      <c r="N66" s="207"/>
      <c r="O66" s="6">
        <v>3</v>
      </c>
      <c r="P66" s="50"/>
      <c r="Q66" s="51" t="str">
        <f>IF(OR(R66="Preventivo",R66="Detectivo"),"Probabilidad",IF(R66="Correctivo","Impacto",""))</f>
        <v/>
      </c>
      <c r="R66" s="52"/>
      <c r="S66" s="52"/>
      <c r="T66" s="53" t="str">
        <f t="shared" si="69"/>
        <v/>
      </c>
      <c r="U66" s="52"/>
      <c r="V66" s="52"/>
      <c r="W66" s="52"/>
      <c r="X66" s="24" t="str">
        <f>IFERROR(IF(AND(Q65="Probabilidad",Q66="Probabilidad"),(Z65-(+Z65*T66)),IF(AND(Q65="Impacto",Q66="Probabilidad"),(Z64-(+Z64*T66)),IF(Q66="Impacto",Z65,""))),"")</f>
        <v/>
      </c>
      <c r="Y66" s="54" t="str">
        <f t="shared" si="1"/>
        <v/>
      </c>
      <c r="Z66" s="55" t="str">
        <f t="shared" si="70"/>
        <v/>
      </c>
      <c r="AA66" s="54" t="str">
        <f t="shared" si="3"/>
        <v/>
      </c>
      <c r="AB66" s="55" t="str">
        <f>IFERROR(IF(AND(Q65="Impacto",Q66="Impacto"),(AB65-(+AB65*T66)),IF(AND(Q65="Probabilidad",Q66="Impacto"),(AB64-(+AB64*T66)),IF(Q66="Probabilidad",AB65,""))),"")</f>
        <v/>
      </c>
      <c r="AC66" s="56" t="str">
        <f t="shared" si="71"/>
        <v/>
      </c>
      <c r="AD66" s="57"/>
      <c r="AE66" s="58"/>
      <c r="AF66" s="48"/>
      <c r="AG66" s="59"/>
      <c r="AH66" s="59"/>
      <c r="AI66" s="58"/>
      <c r="AJ66" s="48"/>
    </row>
    <row r="67" spans="1:36" ht="151.5" customHeight="1" x14ac:dyDescent="0.3">
      <c r="A67" s="210"/>
      <c r="B67" s="213"/>
      <c r="C67" s="213"/>
      <c r="D67" s="213"/>
      <c r="E67" s="216"/>
      <c r="F67" s="213"/>
      <c r="G67" s="219"/>
      <c r="H67" s="222"/>
      <c r="I67" s="204"/>
      <c r="J67" s="225"/>
      <c r="K67" s="204">
        <f>IF(NOT(ISERROR(MATCH(J67,_xlfn.ANCHORARRAY(E78),0))),I80&amp;"Por favor no seleccionar los criterios de impacto",J67)</f>
        <v>0</v>
      </c>
      <c r="L67" s="222"/>
      <c r="M67" s="204"/>
      <c r="N67" s="207"/>
      <c r="O67" s="6">
        <v>4</v>
      </c>
      <c r="P67" s="49"/>
      <c r="Q67" s="51" t="str">
        <f t="shared" ref="Q67:Q69" si="72">IF(OR(R67="Preventivo",R67="Detectivo"),"Probabilidad",IF(R67="Correctivo","Impacto",""))</f>
        <v/>
      </c>
      <c r="R67" s="52"/>
      <c r="S67" s="52"/>
      <c r="T67" s="53" t="str">
        <f t="shared" si="69"/>
        <v/>
      </c>
      <c r="U67" s="52"/>
      <c r="V67" s="52"/>
      <c r="W67" s="52"/>
      <c r="X67" s="24" t="str">
        <f t="shared" ref="X67:X69" si="73">IFERROR(IF(AND(Q66="Probabilidad",Q67="Probabilidad"),(Z66-(+Z66*T67)),IF(AND(Q66="Impacto",Q67="Probabilidad"),(Z65-(+Z65*T67)),IF(Q67="Impacto",Z66,""))),"")</f>
        <v/>
      </c>
      <c r="Y67" s="54" t="str">
        <f t="shared" si="1"/>
        <v/>
      </c>
      <c r="Z67" s="55" t="str">
        <f t="shared" si="70"/>
        <v/>
      </c>
      <c r="AA67" s="54" t="str">
        <f t="shared" si="3"/>
        <v/>
      </c>
      <c r="AB67" s="55" t="str">
        <f t="shared" ref="AB67:AB69" si="74">IFERROR(IF(AND(Q66="Impacto",Q67="Impacto"),(AB66-(+AB66*T67)),IF(AND(Q66="Probabilidad",Q67="Impacto"),(AB65-(+AB65*T67)),IF(Q67="Probabilidad",AB66,""))),"")</f>
        <v/>
      </c>
      <c r="AC67" s="5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57"/>
      <c r="AE67" s="58"/>
      <c r="AF67" s="48"/>
      <c r="AG67" s="59"/>
      <c r="AH67" s="59"/>
      <c r="AI67" s="58"/>
      <c r="AJ67" s="48"/>
    </row>
    <row r="68" spans="1:36" ht="151.5" customHeight="1" x14ac:dyDescent="0.3">
      <c r="A68" s="210"/>
      <c r="B68" s="213"/>
      <c r="C68" s="213"/>
      <c r="D68" s="213"/>
      <c r="E68" s="216"/>
      <c r="F68" s="213"/>
      <c r="G68" s="219"/>
      <c r="H68" s="222"/>
      <c r="I68" s="204"/>
      <c r="J68" s="225"/>
      <c r="K68" s="204">
        <f>IF(NOT(ISERROR(MATCH(J68,_xlfn.ANCHORARRAY(E79),0))),I81&amp;"Por favor no seleccionar los criterios de impacto",J68)</f>
        <v>0</v>
      </c>
      <c r="L68" s="222"/>
      <c r="M68" s="204"/>
      <c r="N68" s="207"/>
      <c r="O68" s="6">
        <v>5</v>
      </c>
      <c r="P68" s="49"/>
      <c r="Q68" s="51" t="str">
        <f t="shared" si="72"/>
        <v/>
      </c>
      <c r="R68" s="52"/>
      <c r="S68" s="52"/>
      <c r="T68" s="53" t="str">
        <f t="shared" si="69"/>
        <v/>
      </c>
      <c r="U68" s="52"/>
      <c r="V68" s="52"/>
      <c r="W68" s="52"/>
      <c r="X68" s="24" t="str">
        <f t="shared" si="73"/>
        <v/>
      </c>
      <c r="Y68" s="54" t="str">
        <f t="shared" si="1"/>
        <v/>
      </c>
      <c r="Z68" s="55" t="str">
        <f t="shared" si="70"/>
        <v/>
      </c>
      <c r="AA68" s="54" t="str">
        <f t="shared" si="3"/>
        <v/>
      </c>
      <c r="AB68" s="55" t="str">
        <f t="shared" si="74"/>
        <v/>
      </c>
      <c r="AC68" s="56"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57"/>
      <c r="AE68" s="58"/>
      <c r="AF68" s="48"/>
      <c r="AG68" s="59"/>
      <c r="AH68" s="59"/>
      <c r="AI68" s="58"/>
      <c r="AJ68" s="48"/>
    </row>
    <row r="69" spans="1:36" ht="151.5" customHeight="1" x14ac:dyDescent="0.3">
      <c r="A69" s="211"/>
      <c r="B69" s="214"/>
      <c r="C69" s="214"/>
      <c r="D69" s="214"/>
      <c r="E69" s="217"/>
      <c r="F69" s="214"/>
      <c r="G69" s="220"/>
      <c r="H69" s="223"/>
      <c r="I69" s="205"/>
      <c r="J69" s="226"/>
      <c r="K69" s="205">
        <f>IF(NOT(ISERROR(MATCH(J69,_xlfn.ANCHORARRAY(E80),0))),I82&amp;"Por favor no seleccionar los criterios de impacto",J69)</f>
        <v>0</v>
      </c>
      <c r="L69" s="223"/>
      <c r="M69" s="205"/>
      <c r="N69" s="208"/>
      <c r="O69" s="6">
        <v>6</v>
      </c>
      <c r="P69" s="49"/>
      <c r="Q69" s="51" t="str">
        <f t="shared" si="72"/>
        <v/>
      </c>
      <c r="R69" s="52"/>
      <c r="S69" s="52"/>
      <c r="T69" s="53" t="str">
        <f t="shared" si="69"/>
        <v/>
      </c>
      <c r="U69" s="52"/>
      <c r="V69" s="52"/>
      <c r="W69" s="52"/>
      <c r="X69" s="24" t="str">
        <f t="shared" si="73"/>
        <v/>
      </c>
      <c r="Y69" s="54" t="str">
        <f t="shared" si="1"/>
        <v/>
      </c>
      <c r="Z69" s="55" t="str">
        <f t="shared" si="70"/>
        <v/>
      </c>
      <c r="AA69" s="54" t="str">
        <f t="shared" si="3"/>
        <v/>
      </c>
      <c r="AB69" s="55" t="str">
        <f t="shared" si="74"/>
        <v/>
      </c>
      <c r="AC69" s="56" t="str">
        <f t="shared" si="75"/>
        <v/>
      </c>
      <c r="AD69" s="57"/>
      <c r="AE69" s="58"/>
      <c r="AF69" s="48"/>
      <c r="AG69" s="59"/>
      <c r="AH69" s="59"/>
      <c r="AI69" s="58"/>
      <c r="AJ69" s="48"/>
    </row>
    <row r="70" spans="1:36" ht="49.5" customHeight="1" x14ac:dyDescent="0.3">
      <c r="A70" s="6"/>
      <c r="B70" s="200" t="s">
        <v>131</v>
      </c>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2"/>
    </row>
    <row r="72" spans="1:36" x14ac:dyDescent="0.3">
      <c r="A72" s="1"/>
      <c r="B72" s="25" t="s">
        <v>143</v>
      </c>
      <c r="C72" s="1"/>
      <c r="D72" s="1"/>
      <c r="F72" s="1"/>
    </row>
  </sheetData>
  <sheetProtection algorithmName="SHA-512" hashValue="sVoqu7kJshpFydYKkkW8R62PwbHkQ9zgyUzrQTDSexXBIdbfmbh3HSh+Gofw37b3YGg2PRU2wgjt3LhxsWd93g==" saltValue="gArFcdkKpQaxc61f24i61A=="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0866141732283472" right="0.70866141732283472" top="0.74803149606299213" bottom="0.74803149606299213" header="0.31496062992125984" footer="0.31496062992125984"/>
  <pageSetup scale="14" fitToHeight="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E66" sqref="AE66"/>
    </sheetView>
  </sheetViews>
  <sheetFormatPr baseColWidth="10" defaultRowHeight="15" x14ac:dyDescent="0.25"/>
  <cols>
    <col min="2" max="39" width="5.7109375" customWidth="1"/>
    <col min="41" max="46" width="5.7109375" customWidth="1"/>
  </cols>
  <sheetData>
    <row r="1" spans="1:99"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x14ac:dyDescent="0.25">
      <c r="A2" s="97"/>
      <c r="B2" s="331" t="s">
        <v>161</v>
      </c>
      <c r="C2" s="331"/>
      <c r="D2" s="331"/>
      <c r="E2" s="331"/>
      <c r="F2" s="331"/>
      <c r="G2" s="331"/>
      <c r="H2" s="331"/>
      <c r="I2" s="331"/>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x14ac:dyDescent="0.25">
      <c r="A3" s="97"/>
      <c r="B3" s="331"/>
      <c r="C3" s="331"/>
      <c r="D3" s="331"/>
      <c r="E3" s="331"/>
      <c r="F3" s="331"/>
      <c r="G3" s="331"/>
      <c r="H3" s="331"/>
      <c r="I3" s="331"/>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x14ac:dyDescent="0.25">
      <c r="A4" s="97"/>
      <c r="B4" s="331"/>
      <c r="C4" s="331"/>
      <c r="D4" s="331"/>
      <c r="E4" s="331"/>
      <c r="F4" s="331"/>
      <c r="G4" s="331"/>
      <c r="H4" s="331"/>
      <c r="I4" s="331"/>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x14ac:dyDescent="0.25">
      <c r="A6" s="97"/>
      <c r="B6" s="246" t="s">
        <v>4</v>
      </c>
      <c r="C6" s="246"/>
      <c r="D6" s="247"/>
      <c r="E6" s="284" t="s">
        <v>116</v>
      </c>
      <c r="F6" s="285"/>
      <c r="G6" s="285"/>
      <c r="H6" s="285"/>
      <c r="I6" s="286"/>
      <c r="J6" s="295" t="str">
        <f>IF(AND('Mapa final'!$H$10="Muy Alta",'Mapa final'!$L$10="Leve"),CONCATENATE("R",'Mapa final'!$A$10),"")</f>
        <v/>
      </c>
      <c r="K6" s="296"/>
      <c r="L6" s="296" t="str">
        <f>IF(AND('Mapa final'!$H$16="Muy Alta",'Mapa final'!$L$16="Leve"),CONCATENATE("R",'Mapa final'!$A$16),"")</f>
        <v/>
      </c>
      <c r="M6" s="296"/>
      <c r="N6" s="296" t="str">
        <f>IF(AND('Mapa final'!$H$22="Muy Alta",'Mapa final'!$L$22="Leve"),CONCATENATE("R",'Mapa final'!$A$22),"")</f>
        <v/>
      </c>
      <c r="O6" s="298"/>
      <c r="P6" s="295" t="str">
        <f>IF(AND('Mapa final'!$H$10="Muy Alta",'Mapa final'!$L$10="Menor"),CONCATENATE("R",'Mapa final'!$A$10),"")</f>
        <v/>
      </c>
      <c r="Q6" s="296"/>
      <c r="R6" s="296" t="str">
        <f>IF(AND('Mapa final'!$H$16="Muy Alta",'Mapa final'!$L$16="Menor"),CONCATENATE("R",'Mapa final'!$A$16),"")</f>
        <v/>
      </c>
      <c r="S6" s="296"/>
      <c r="T6" s="296" t="str">
        <f>IF(AND('Mapa final'!$H$22="Muy Alta",'Mapa final'!$L$22="Menor"),CONCATENATE("R",'Mapa final'!$A$22),"")</f>
        <v/>
      </c>
      <c r="U6" s="298"/>
      <c r="V6" s="295" t="str">
        <f>IF(AND('Mapa final'!$H$10="Muy Alta",'Mapa final'!$L$10="Moderado"),CONCATENATE("R",'Mapa final'!$A$10),"")</f>
        <v/>
      </c>
      <c r="W6" s="296"/>
      <c r="X6" s="296" t="str">
        <f>IF(AND('Mapa final'!$H$16="Muy Alta",'Mapa final'!$L$16="Moderado"),CONCATENATE("R",'Mapa final'!$A$16),"")</f>
        <v/>
      </c>
      <c r="Y6" s="296"/>
      <c r="Z6" s="296" t="str">
        <f>IF(AND('Mapa final'!$H$22="Muy Alta",'Mapa final'!$L$22="Moderado"),CONCATENATE("R",'Mapa final'!$A$22),"")</f>
        <v/>
      </c>
      <c r="AA6" s="298"/>
      <c r="AB6" s="295" t="str">
        <f>IF(AND('Mapa final'!$H$10="Muy Alta",'Mapa final'!$L$10="Mayor"),CONCATENATE("R",'Mapa final'!$A$10),"")</f>
        <v/>
      </c>
      <c r="AC6" s="296"/>
      <c r="AD6" s="296" t="str">
        <f>IF(AND('Mapa final'!$H$16="Muy Alta",'Mapa final'!$L$16="Mayor"),CONCATENATE("R",'Mapa final'!$A$16),"")</f>
        <v/>
      </c>
      <c r="AE6" s="296"/>
      <c r="AF6" s="296" t="str">
        <f>IF(AND('Mapa final'!$H$22="Muy Alta",'Mapa final'!$L$22="Mayor"),CONCATENATE("R",'Mapa final'!$A$22),"")</f>
        <v/>
      </c>
      <c r="AG6" s="298"/>
      <c r="AH6" s="310" t="str">
        <f>IF(AND('Mapa final'!$H$10="Muy Alta",'Mapa final'!$L$10="Catastrófico"),CONCATENATE("R",'Mapa final'!$A$10),"")</f>
        <v/>
      </c>
      <c r="AI6" s="311"/>
      <c r="AJ6" s="311" t="str">
        <f>IF(AND('Mapa final'!$H$16="Muy Alta",'Mapa final'!$L$16="Catastrófico"),CONCATENATE("R",'Mapa final'!$A$16),"")</f>
        <v/>
      </c>
      <c r="AK6" s="311"/>
      <c r="AL6" s="311" t="str">
        <f>IF(AND('Mapa final'!$H$22="Muy Alta",'Mapa final'!$L$22="Catastrófico"),CONCATENATE("R",'Mapa final'!$A$22),"")</f>
        <v/>
      </c>
      <c r="AM6" s="312"/>
      <c r="AO6" s="248" t="s">
        <v>79</v>
      </c>
      <c r="AP6" s="249"/>
      <c r="AQ6" s="249"/>
      <c r="AR6" s="249"/>
      <c r="AS6" s="249"/>
      <c r="AT6" s="250"/>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x14ac:dyDescent="0.25">
      <c r="A7" s="97"/>
      <c r="B7" s="246"/>
      <c r="C7" s="246"/>
      <c r="D7" s="247"/>
      <c r="E7" s="287"/>
      <c r="F7" s="288"/>
      <c r="G7" s="288"/>
      <c r="H7" s="288"/>
      <c r="I7" s="289"/>
      <c r="J7" s="297"/>
      <c r="K7" s="293"/>
      <c r="L7" s="293"/>
      <c r="M7" s="293"/>
      <c r="N7" s="293"/>
      <c r="O7" s="294"/>
      <c r="P7" s="297"/>
      <c r="Q7" s="293"/>
      <c r="R7" s="293"/>
      <c r="S7" s="293"/>
      <c r="T7" s="293"/>
      <c r="U7" s="294"/>
      <c r="V7" s="297"/>
      <c r="W7" s="293"/>
      <c r="X7" s="293"/>
      <c r="Y7" s="293"/>
      <c r="Z7" s="293"/>
      <c r="AA7" s="294"/>
      <c r="AB7" s="297"/>
      <c r="AC7" s="293"/>
      <c r="AD7" s="293"/>
      <c r="AE7" s="293"/>
      <c r="AF7" s="293"/>
      <c r="AG7" s="294"/>
      <c r="AH7" s="304"/>
      <c r="AI7" s="305"/>
      <c r="AJ7" s="305"/>
      <c r="AK7" s="305"/>
      <c r="AL7" s="305"/>
      <c r="AM7" s="306"/>
      <c r="AN7" s="97"/>
      <c r="AO7" s="251"/>
      <c r="AP7" s="252"/>
      <c r="AQ7" s="252"/>
      <c r="AR7" s="252"/>
      <c r="AS7" s="252"/>
      <c r="AT7" s="253"/>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x14ac:dyDescent="0.25">
      <c r="A8" s="97"/>
      <c r="B8" s="246"/>
      <c r="C8" s="246"/>
      <c r="D8" s="247"/>
      <c r="E8" s="287"/>
      <c r="F8" s="288"/>
      <c r="G8" s="288"/>
      <c r="H8" s="288"/>
      <c r="I8" s="289"/>
      <c r="J8" s="297" t="str">
        <f>IF(AND('Mapa final'!$H$28="Muy Alta",'Mapa final'!$L$28="Leve"),CONCATENATE("R",'Mapa final'!$A$28),"")</f>
        <v/>
      </c>
      <c r="K8" s="293"/>
      <c r="L8" s="293" t="str">
        <f>IF(AND('Mapa final'!$H$34="Muy Alta",'Mapa final'!$L$34="Leve"),CONCATENATE("R",'Mapa final'!$A$34),"")</f>
        <v/>
      </c>
      <c r="M8" s="293"/>
      <c r="N8" s="293" t="str">
        <f>IF(AND('Mapa final'!$H$40="Muy Alta",'Mapa final'!$L$40="Leve"),CONCATENATE("R",'Mapa final'!$A$40),"")</f>
        <v/>
      </c>
      <c r="O8" s="294"/>
      <c r="P8" s="297" t="str">
        <f>IF(AND('Mapa final'!$H$28="Muy Alta",'Mapa final'!$L$28="Menor"),CONCATENATE("R",'Mapa final'!$A$28),"")</f>
        <v/>
      </c>
      <c r="Q8" s="293"/>
      <c r="R8" s="293" t="str">
        <f>IF(AND('Mapa final'!$H$34="Muy Alta",'Mapa final'!$L$34="Menor"),CONCATENATE("R",'Mapa final'!$A$34),"")</f>
        <v/>
      </c>
      <c r="S8" s="293"/>
      <c r="T8" s="293" t="str">
        <f>IF(AND('Mapa final'!$H$40="Muy Alta",'Mapa final'!$L$40="Menor"),CONCATENATE("R",'Mapa final'!$A$40),"")</f>
        <v/>
      </c>
      <c r="U8" s="294"/>
      <c r="V8" s="297" t="str">
        <f>IF(AND('Mapa final'!$H$28="Muy Alta",'Mapa final'!$L$28="Moderado"),CONCATENATE("R",'Mapa final'!$A$28),"")</f>
        <v/>
      </c>
      <c r="W8" s="293"/>
      <c r="X8" s="293" t="str">
        <f>IF(AND('Mapa final'!$H$34="Muy Alta",'Mapa final'!$L$34="Moderado"),CONCATENATE("R",'Mapa final'!$A$34),"")</f>
        <v/>
      </c>
      <c r="Y8" s="293"/>
      <c r="Z8" s="293" t="str">
        <f>IF(AND('Mapa final'!$H$40="Muy Alta",'Mapa final'!$L$40="Moderado"),CONCATENATE("R",'Mapa final'!$A$40),"")</f>
        <v/>
      </c>
      <c r="AA8" s="294"/>
      <c r="AB8" s="297" t="str">
        <f>IF(AND('Mapa final'!$H$28="Muy Alta",'Mapa final'!$L$28="Mayor"),CONCATENATE("R",'Mapa final'!$A$28),"")</f>
        <v/>
      </c>
      <c r="AC8" s="293"/>
      <c r="AD8" s="293" t="str">
        <f>IF(AND('Mapa final'!$H$34="Muy Alta",'Mapa final'!$L$34="Mayor"),CONCATENATE("R",'Mapa final'!$A$34),"")</f>
        <v/>
      </c>
      <c r="AE8" s="293"/>
      <c r="AF8" s="293" t="str">
        <f>IF(AND('Mapa final'!$H$40="Muy Alta",'Mapa final'!$L$40="Mayor"),CONCATENATE("R",'Mapa final'!$A$40),"")</f>
        <v/>
      </c>
      <c r="AG8" s="294"/>
      <c r="AH8" s="304" t="str">
        <f>IF(AND('Mapa final'!$H$28="Muy Alta",'Mapa final'!$L$28="Catastrófico"),CONCATENATE("R",'Mapa final'!$A$28),"")</f>
        <v/>
      </c>
      <c r="AI8" s="305"/>
      <c r="AJ8" s="305" t="str">
        <f>IF(AND('Mapa final'!$H$34="Muy Alta",'Mapa final'!$L$34="Catastrófico"),CONCATENATE("R",'Mapa final'!$A$34),"")</f>
        <v/>
      </c>
      <c r="AK8" s="305"/>
      <c r="AL8" s="305" t="str">
        <f>IF(AND('Mapa final'!$H$40="Muy Alta",'Mapa final'!$L$40="Catastrófico"),CONCATENATE("R",'Mapa final'!$A$40),"")</f>
        <v/>
      </c>
      <c r="AM8" s="306"/>
      <c r="AN8" s="97"/>
      <c r="AO8" s="251"/>
      <c r="AP8" s="252"/>
      <c r="AQ8" s="252"/>
      <c r="AR8" s="252"/>
      <c r="AS8" s="252"/>
      <c r="AT8" s="253"/>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x14ac:dyDescent="0.25">
      <c r="A9" s="97"/>
      <c r="B9" s="246"/>
      <c r="C9" s="246"/>
      <c r="D9" s="247"/>
      <c r="E9" s="287"/>
      <c r="F9" s="288"/>
      <c r="G9" s="288"/>
      <c r="H9" s="288"/>
      <c r="I9" s="289"/>
      <c r="J9" s="297"/>
      <c r="K9" s="293"/>
      <c r="L9" s="293"/>
      <c r="M9" s="293"/>
      <c r="N9" s="293"/>
      <c r="O9" s="294"/>
      <c r="P9" s="297"/>
      <c r="Q9" s="293"/>
      <c r="R9" s="293"/>
      <c r="S9" s="293"/>
      <c r="T9" s="293"/>
      <c r="U9" s="294"/>
      <c r="V9" s="297"/>
      <c r="W9" s="293"/>
      <c r="X9" s="293"/>
      <c r="Y9" s="293"/>
      <c r="Z9" s="293"/>
      <c r="AA9" s="294"/>
      <c r="AB9" s="297"/>
      <c r="AC9" s="293"/>
      <c r="AD9" s="293"/>
      <c r="AE9" s="293"/>
      <c r="AF9" s="293"/>
      <c r="AG9" s="294"/>
      <c r="AH9" s="304"/>
      <c r="AI9" s="305"/>
      <c r="AJ9" s="305"/>
      <c r="AK9" s="305"/>
      <c r="AL9" s="305"/>
      <c r="AM9" s="306"/>
      <c r="AN9" s="97"/>
      <c r="AO9" s="251"/>
      <c r="AP9" s="252"/>
      <c r="AQ9" s="252"/>
      <c r="AR9" s="252"/>
      <c r="AS9" s="252"/>
      <c r="AT9" s="253"/>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x14ac:dyDescent="0.25">
      <c r="A10" s="97"/>
      <c r="B10" s="246"/>
      <c r="C10" s="246"/>
      <c r="D10" s="247"/>
      <c r="E10" s="287"/>
      <c r="F10" s="288"/>
      <c r="G10" s="288"/>
      <c r="H10" s="288"/>
      <c r="I10" s="289"/>
      <c r="J10" s="297" t="str">
        <f>IF(AND('Mapa final'!$H$46="Muy Alta",'Mapa final'!$L$46="Leve"),CONCATENATE("R",'Mapa final'!$A$46),"")</f>
        <v/>
      </c>
      <c r="K10" s="293"/>
      <c r="L10" s="293" t="str">
        <f>IF(AND('Mapa final'!$H$52="Muy Alta",'Mapa final'!$L$52="Leve"),CONCATENATE("R",'Mapa final'!$A$52),"")</f>
        <v/>
      </c>
      <c r="M10" s="293"/>
      <c r="N10" s="293" t="str">
        <f>IF(AND('Mapa final'!$H$58="Muy Alta",'Mapa final'!$L$58="Leve"),CONCATENATE("R",'Mapa final'!$A$58),"")</f>
        <v/>
      </c>
      <c r="O10" s="294"/>
      <c r="P10" s="297" t="str">
        <f>IF(AND('Mapa final'!$H$46="Muy Alta",'Mapa final'!$L$46="Menor"),CONCATENATE("R",'Mapa final'!$A$46),"")</f>
        <v/>
      </c>
      <c r="Q10" s="293"/>
      <c r="R10" s="293" t="str">
        <f>IF(AND('Mapa final'!$H$52="Muy Alta",'Mapa final'!$L$52="Menor"),CONCATENATE("R",'Mapa final'!$A$52),"")</f>
        <v/>
      </c>
      <c r="S10" s="293"/>
      <c r="T10" s="293" t="str">
        <f>IF(AND('Mapa final'!$H$58="Muy Alta",'Mapa final'!$L$58="Menor"),CONCATENATE("R",'Mapa final'!$A$58),"")</f>
        <v/>
      </c>
      <c r="U10" s="294"/>
      <c r="V10" s="297" t="str">
        <f>IF(AND('Mapa final'!$H$46="Muy Alta",'Mapa final'!$L$46="Moderado"),CONCATENATE("R",'Mapa final'!$A$46),"")</f>
        <v/>
      </c>
      <c r="W10" s="293"/>
      <c r="X10" s="293" t="str">
        <f>IF(AND('Mapa final'!$H$52="Muy Alta",'Mapa final'!$L$52="Moderado"),CONCATENATE("R",'Mapa final'!$A$52),"")</f>
        <v/>
      </c>
      <c r="Y10" s="293"/>
      <c r="Z10" s="293" t="str">
        <f>IF(AND('Mapa final'!$H$58="Muy Alta",'Mapa final'!$L$58="Moderado"),CONCATENATE("R",'Mapa final'!$A$58),"")</f>
        <v/>
      </c>
      <c r="AA10" s="294"/>
      <c r="AB10" s="297" t="str">
        <f>IF(AND('Mapa final'!$H$46="Muy Alta",'Mapa final'!$L$46="Mayor"),CONCATENATE("R",'Mapa final'!$A$46),"")</f>
        <v/>
      </c>
      <c r="AC10" s="293"/>
      <c r="AD10" s="293" t="str">
        <f>IF(AND('Mapa final'!$H$52="Muy Alta",'Mapa final'!$L$52="Mayor"),CONCATENATE("R",'Mapa final'!$A$52),"")</f>
        <v/>
      </c>
      <c r="AE10" s="293"/>
      <c r="AF10" s="293" t="str">
        <f>IF(AND('Mapa final'!$H$58="Muy Alta",'Mapa final'!$L$58="Mayor"),CONCATENATE("R",'Mapa final'!$A$58),"")</f>
        <v/>
      </c>
      <c r="AG10" s="294"/>
      <c r="AH10" s="304" t="str">
        <f>IF(AND('Mapa final'!$H$46="Muy Alta",'Mapa final'!$L$46="Catastrófico"),CONCATENATE("R",'Mapa final'!$A$46),"")</f>
        <v/>
      </c>
      <c r="AI10" s="305"/>
      <c r="AJ10" s="305" t="str">
        <f>IF(AND('Mapa final'!$H$52="Muy Alta",'Mapa final'!$L$52="Catastrófico"),CONCATENATE("R",'Mapa final'!$A$52),"")</f>
        <v/>
      </c>
      <c r="AK10" s="305"/>
      <c r="AL10" s="305" t="str">
        <f>IF(AND('Mapa final'!$H$58="Muy Alta",'Mapa final'!$L$58="Catastrófico"),CONCATENATE("R",'Mapa final'!$A$58),"")</f>
        <v/>
      </c>
      <c r="AM10" s="306"/>
      <c r="AN10" s="97"/>
      <c r="AO10" s="251"/>
      <c r="AP10" s="252"/>
      <c r="AQ10" s="252"/>
      <c r="AR10" s="252"/>
      <c r="AS10" s="252"/>
      <c r="AT10" s="253"/>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x14ac:dyDescent="0.25">
      <c r="A11" s="97"/>
      <c r="B11" s="246"/>
      <c r="C11" s="246"/>
      <c r="D11" s="247"/>
      <c r="E11" s="287"/>
      <c r="F11" s="288"/>
      <c r="G11" s="288"/>
      <c r="H11" s="288"/>
      <c r="I11" s="289"/>
      <c r="J11" s="297"/>
      <c r="K11" s="293"/>
      <c r="L11" s="293"/>
      <c r="M11" s="293"/>
      <c r="N11" s="293"/>
      <c r="O11" s="294"/>
      <c r="P11" s="297"/>
      <c r="Q11" s="293"/>
      <c r="R11" s="293"/>
      <c r="S11" s="293"/>
      <c r="T11" s="293"/>
      <c r="U11" s="294"/>
      <c r="V11" s="297"/>
      <c r="W11" s="293"/>
      <c r="X11" s="293"/>
      <c r="Y11" s="293"/>
      <c r="Z11" s="293"/>
      <c r="AA11" s="294"/>
      <c r="AB11" s="297"/>
      <c r="AC11" s="293"/>
      <c r="AD11" s="293"/>
      <c r="AE11" s="293"/>
      <c r="AF11" s="293"/>
      <c r="AG11" s="294"/>
      <c r="AH11" s="304"/>
      <c r="AI11" s="305"/>
      <c r="AJ11" s="305"/>
      <c r="AK11" s="305"/>
      <c r="AL11" s="305"/>
      <c r="AM11" s="306"/>
      <c r="AN11" s="97"/>
      <c r="AO11" s="251"/>
      <c r="AP11" s="252"/>
      <c r="AQ11" s="252"/>
      <c r="AR11" s="252"/>
      <c r="AS11" s="252"/>
      <c r="AT11" s="253"/>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x14ac:dyDescent="0.25">
      <c r="A12" s="97"/>
      <c r="B12" s="246"/>
      <c r="C12" s="246"/>
      <c r="D12" s="247"/>
      <c r="E12" s="287"/>
      <c r="F12" s="288"/>
      <c r="G12" s="288"/>
      <c r="H12" s="288"/>
      <c r="I12" s="289"/>
      <c r="J12" s="297" t="str">
        <f>IF(AND('Mapa final'!$H$64="Muy Alta",'Mapa final'!$L$64="Leve"),CONCATENATE("R",'Mapa final'!$A$64),"")</f>
        <v/>
      </c>
      <c r="K12" s="293"/>
      <c r="L12" s="293" t="str">
        <f>IF(AND('Mapa final'!$H$70="Muy Alta",'Mapa final'!$L$70="Leve"),CONCATENATE("R",'Mapa final'!$A$70),"")</f>
        <v/>
      </c>
      <c r="M12" s="293"/>
      <c r="N12" s="293" t="str">
        <f>IF(AND('Mapa final'!$H$76="Muy Alta",'Mapa final'!$L$76="Leve"),CONCATENATE("R",'Mapa final'!$A$76),"")</f>
        <v/>
      </c>
      <c r="O12" s="294"/>
      <c r="P12" s="297" t="str">
        <f>IF(AND('Mapa final'!$H$64="Muy Alta",'Mapa final'!$L$64="Menor"),CONCATENATE("R",'Mapa final'!$A$64),"")</f>
        <v/>
      </c>
      <c r="Q12" s="293"/>
      <c r="R12" s="293" t="str">
        <f>IF(AND('Mapa final'!$H$70="Muy Alta",'Mapa final'!$L$70="Menor"),CONCATENATE("R",'Mapa final'!$A$70),"")</f>
        <v/>
      </c>
      <c r="S12" s="293"/>
      <c r="T12" s="293" t="str">
        <f>IF(AND('Mapa final'!$H$76="Muy Alta",'Mapa final'!$L$76="Menor"),CONCATENATE("R",'Mapa final'!$A$76),"")</f>
        <v/>
      </c>
      <c r="U12" s="294"/>
      <c r="V12" s="297" t="str">
        <f>IF(AND('Mapa final'!$H$64="Muy Alta",'Mapa final'!$L$64="Moderado"),CONCATENATE("R",'Mapa final'!$A$64),"")</f>
        <v/>
      </c>
      <c r="W12" s="293"/>
      <c r="X12" s="293" t="str">
        <f>IF(AND('Mapa final'!$H$70="Muy Alta",'Mapa final'!$L$70="Moderado"),CONCATENATE("R",'Mapa final'!$A$70),"")</f>
        <v/>
      </c>
      <c r="Y12" s="293"/>
      <c r="Z12" s="293" t="str">
        <f>IF(AND('Mapa final'!$H$76="Muy Alta",'Mapa final'!$L$76="Moderado"),CONCATENATE("R",'Mapa final'!$A$76),"")</f>
        <v/>
      </c>
      <c r="AA12" s="294"/>
      <c r="AB12" s="297" t="str">
        <f>IF(AND('Mapa final'!$H$64="Muy Alta",'Mapa final'!$L$64="Mayor"),CONCATENATE("R",'Mapa final'!$A$64),"")</f>
        <v/>
      </c>
      <c r="AC12" s="293"/>
      <c r="AD12" s="293" t="str">
        <f>IF(AND('Mapa final'!$H$70="Muy Alta",'Mapa final'!$L$70="Mayor"),CONCATENATE("R",'Mapa final'!$A$70),"")</f>
        <v/>
      </c>
      <c r="AE12" s="293"/>
      <c r="AF12" s="293" t="str">
        <f>IF(AND('Mapa final'!$H$76="Muy Alta",'Mapa final'!$L$76="Mayor"),CONCATENATE("R",'Mapa final'!$A$76),"")</f>
        <v/>
      </c>
      <c r="AG12" s="294"/>
      <c r="AH12" s="304" t="str">
        <f>IF(AND('Mapa final'!$H$64="Muy Alta",'Mapa final'!$L$64="Catastrófico"),CONCATENATE("R",'Mapa final'!$A$64),"")</f>
        <v/>
      </c>
      <c r="AI12" s="305"/>
      <c r="AJ12" s="305" t="str">
        <f>IF(AND('Mapa final'!$H$70="Muy Alta",'Mapa final'!$L$70="Catastrófico"),CONCATENATE("R",'Mapa final'!$A$70),"")</f>
        <v/>
      </c>
      <c r="AK12" s="305"/>
      <c r="AL12" s="305" t="str">
        <f>IF(AND('Mapa final'!$H$76="Muy Alta",'Mapa final'!$L$76="Catastrófico"),CONCATENATE("R",'Mapa final'!$A$76),"")</f>
        <v/>
      </c>
      <c r="AM12" s="306"/>
      <c r="AN12" s="97"/>
      <c r="AO12" s="251"/>
      <c r="AP12" s="252"/>
      <c r="AQ12" s="252"/>
      <c r="AR12" s="252"/>
      <c r="AS12" s="252"/>
      <c r="AT12" s="253"/>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x14ac:dyDescent="0.3">
      <c r="A13" s="97"/>
      <c r="B13" s="246"/>
      <c r="C13" s="246"/>
      <c r="D13" s="247"/>
      <c r="E13" s="290"/>
      <c r="F13" s="291"/>
      <c r="G13" s="291"/>
      <c r="H13" s="291"/>
      <c r="I13" s="292"/>
      <c r="J13" s="297"/>
      <c r="K13" s="293"/>
      <c r="L13" s="293"/>
      <c r="M13" s="293"/>
      <c r="N13" s="293"/>
      <c r="O13" s="294"/>
      <c r="P13" s="297"/>
      <c r="Q13" s="293"/>
      <c r="R13" s="293"/>
      <c r="S13" s="293"/>
      <c r="T13" s="293"/>
      <c r="U13" s="294"/>
      <c r="V13" s="297"/>
      <c r="W13" s="293"/>
      <c r="X13" s="293"/>
      <c r="Y13" s="293"/>
      <c r="Z13" s="293"/>
      <c r="AA13" s="294"/>
      <c r="AB13" s="297"/>
      <c r="AC13" s="293"/>
      <c r="AD13" s="293"/>
      <c r="AE13" s="293"/>
      <c r="AF13" s="293"/>
      <c r="AG13" s="294"/>
      <c r="AH13" s="307"/>
      <c r="AI13" s="308"/>
      <c r="AJ13" s="308"/>
      <c r="AK13" s="308"/>
      <c r="AL13" s="308"/>
      <c r="AM13" s="309"/>
      <c r="AN13" s="97"/>
      <c r="AO13" s="254"/>
      <c r="AP13" s="255"/>
      <c r="AQ13" s="255"/>
      <c r="AR13" s="255"/>
      <c r="AS13" s="255"/>
      <c r="AT13" s="256"/>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x14ac:dyDescent="0.25">
      <c r="A14" s="97"/>
      <c r="B14" s="246"/>
      <c r="C14" s="246"/>
      <c r="D14" s="247"/>
      <c r="E14" s="284" t="s">
        <v>115</v>
      </c>
      <c r="F14" s="285"/>
      <c r="G14" s="285"/>
      <c r="H14" s="285"/>
      <c r="I14" s="285"/>
      <c r="J14" s="319" t="str">
        <f>IF(AND('Mapa final'!$H$10="Alta",'Mapa final'!$L$10="Leve"),CONCATENATE("R",'Mapa final'!$A$10),"")</f>
        <v/>
      </c>
      <c r="K14" s="320"/>
      <c r="L14" s="320" t="str">
        <f>IF(AND('Mapa final'!$H$16="Alta",'Mapa final'!$L$16="Leve"),CONCATENATE("R",'Mapa final'!$A$16),"")</f>
        <v/>
      </c>
      <c r="M14" s="320"/>
      <c r="N14" s="320" t="str">
        <f>IF(AND('Mapa final'!$H$22="Alta",'Mapa final'!$L$22="Leve"),CONCATENATE("R",'Mapa final'!$A$22),"")</f>
        <v/>
      </c>
      <c r="O14" s="321"/>
      <c r="P14" s="319" t="str">
        <f>IF(AND('Mapa final'!$H$10="Alta",'Mapa final'!$L$10="Menor"),CONCATENATE("R",'Mapa final'!$A$10),"")</f>
        <v/>
      </c>
      <c r="Q14" s="320"/>
      <c r="R14" s="320" t="str">
        <f>IF(AND('Mapa final'!$H$16="Alta",'Mapa final'!$L$16="Menor"),CONCATENATE("R",'Mapa final'!$A$16),"")</f>
        <v/>
      </c>
      <c r="S14" s="320"/>
      <c r="T14" s="320" t="str">
        <f>IF(AND('Mapa final'!$H$22="Alta",'Mapa final'!$L$22="Menor"),CONCATENATE("R",'Mapa final'!$A$22),"")</f>
        <v/>
      </c>
      <c r="U14" s="321"/>
      <c r="V14" s="295" t="str">
        <f>IF(AND('Mapa final'!$H$10="Alta",'Mapa final'!$L$10="Moderado"),CONCATENATE("R",'Mapa final'!$A$10),"")</f>
        <v/>
      </c>
      <c r="W14" s="296"/>
      <c r="X14" s="296" t="str">
        <f>IF(AND('Mapa final'!$H$16="Alta",'Mapa final'!$L$16="Moderado"),CONCATENATE("R",'Mapa final'!$A$16),"")</f>
        <v/>
      </c>
      <c r="Y14" s="296"/>
      <c r="Z14" s="296" t="str">
        <f>IF(AND('Mapa final'!$H$22="Alta",'Mapa final'!$L$22="Moderado"),CONCATENATE("R",'Mapa final'!$A$22),"")</f>
        <v/>
      </c>
      <c r="AA14" s="298"/>
      <c r="AB14" s="295" t="str">
        <f>IF(AND('Mapa final'!$H$10="Alta",'Mapa final'!$L$10="Mayor"),CONCATENATE("R",'Mapa final'!$A$10),"")</f>
        <v/>
      </c>
      <c r="AC14" s="296"/>
      <c r="AD14" s="296" t="str">
        <f>IF(AND('Mapa final'!$H$16="Alta",'Mapa final'!$L$16="Mayor"),CONCATENATE("R",'Mapa final'!$A$16),"")</f>
        <v/>
      </c>
      <c r="AE14" s="296"/>
      <c r="AF14" s="296" t="str">
        <f>IF(AND('Mapa final'!$H$22="Alta",'Mapa final'!$L$22="Mayor"),CONCATENATE("R",'Mapa final'!$A$22),"")</f>
        <v/>
      </c>
      <c r="AG14" s="298"/>
      <c r="AH14" s="310" t="str">
        <f>IF(AND('Mapa final'!$H$10="Alta",'Mapa final'!$L$10="Catastrófico"),CONCATENATE("R",'Mapa final'!$A$10),"")</f>
        <v/>
      </c>
      <c r="AI14" s="311"/>
      <c r="AJ14" s="311" t="str">
        <f>IF(AND('Mapa final'!$H$16="Alta",'Mapa final'!$L$16="Catastrófico"),CONCATENATE("R",'Mapa final'!$A$16),"")</f>
        <v/>
      </c>
      <c r="AK14" s="311"/>
      <c r="AL14" s="311" t="str">
        <f>IF(AND('Mapa final'!$H$22="Alta",'Mapa final'!$L$22="Catastrófico"),CONCATENATE("R",'Mapa final'!$A$22),"")</f>
        <v/>
      </c>
      <c r="AM14" s="312"/>
      <c r="AN14" s="97"/>
      <c r="AO14" s="257" t="s">
        <v>80</v>
      </c>
      <c r="AP14" s="258"/>
      <c r="AQ14" s="258"/>
      <c r="AR14" s="258"/>
      <c r="AS14" s="258"/>
      <c r="AT14" s="259"/>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x14ac:dyDescent="0.25">
      <c r="A15" s="97"/>
      <c r="B15" s="246"/>
      <c r="C15" s="246"/>
      <c r="D15" s="247"/>
      <c r="E15" s="287"/>
      <c r="F15" s="288"/>
      <c r="G15" s="288"/>
      <c r="H15" s="288"/>
      <c r="I15" s="288"/>
      <c r="J15" s="313"/>
      <c r="K15" s="314"/>
      <c r="L15" s="314"/>
      <c r="M15" s="314"/>
      <c r="N15" s="314"/>
      <c r="O15" s="315"/>
      <c r="P15" s="313"/>
      <c r="Q15" s="314"/>
      <c r="R15" s="314"/>
      <c r="S15" s="314"/>
      <c r="T15" s="314"/>
      <c r="U15" s="315"/>
      <c r="V15" s="297"/>
      <c r="W15" s="293"/>
      <c r="X15" s="293"/>
      <c r="Y15" s="293"/>
      <c r="Z15" s="293"/>
      <c r="AA15" s="294"/>
      <c r="AB15" s="297"/>
      <c r="AC15" s="293"/>
      <c r="AD15" s="293"/>
      <c r="AE15" s="293"/>
      <c r="AF15" s="293"/>
      <c r="AG15" s="294"/>
      <c r="AH15" s="304"/>
      <c r="AI15" s="305"/>
      <c r="AJ15" s="305"/>
      <c r="AK15" s="305"/>
      <c r="AL15" s="305"/>
      <c r="AM15" s="306"/>
      <c r="AN15" s="97"/>
      <c r="AO15" s="260"/>
      <c r="AP15" s="261"/>
      <c r="AQ15" s="261"/>
      <c r="AR15" s="261"/>
      <c r="AS15" s="261"/>
      <c r="AT15" s="262"/>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x14ac:dyDescent="0.25">
      <c r="A16" s="97"/>
      <c r="B16" s="246"/>
      <c r="C16" s="246"/>
      <c r="D16" s="247"/>
      <c r="E16" s="287"/>
      <c r="F16" s="288"/>
      <c r="G16" s="288"/>
      <c r="H16" s="288"/>
      <c r="I16" s="288"/>
      <c r="J16" s="313" t="str">
        <f>IF(AND('Mapa final'!$H$28="Alta",'Mapa final'!$L$28="Leve"),CONCATENATE("R",'Mapa final'!$A$28),"")</f>
        <v/>
      </c>
      <c r="K16" s="314"/>
      <c r="L16" s="314" t="str">
        <f>IF(AND('Mapa final'!$H$34="Alta",'Mapa final'!$L$34="Leve"),CONCATENATE("R",'Mapa final'!$A$34),"")</f>
        <v/>
      </c>
      <c r="M16" s="314"/>
      <c r="N16" s="314" t="str">
        <f>IF(AND('Mapa final'!$H$40="Alta",'Mapa final'!$L$40="Leve"),CONCATENATE("R",'Mapa final'!$A$40),"")</f>
        <v/>
      </c>
      <c r="O16" s="315"/>
      <c r="P16" s="313" t="str">
        <f>IF(AND('Mapa final'!$H$28="Alta",'Mapa final'!$L$28="Menor"),CONCATENATE("R",'Mapa final'!$A$28),"")</f>
        <v/>
      </c>
      <c r="Q16" s="314"/>
      <c r="R16" s="314" t="str">
        <f>IF(AND('Mapa final'!$H$34="Alta",'Mapa final'!$L$34="Menor"),CONCATENATE("R",'Mapa final'!$A$34),"")</f>
        <v/>
      </c>
      <c r="S16" s="314"/>
      <c r="T16" s="314" t="str">
        <f>IF(AND('Mapa final'!$H$40="Alta",'Mapa final'!$L$40="Menor"),CONCATENATE("R",'Mapa final'!$A$40),"")</f>
        <v/>
      </c>
      <c r="U16" s="315"/>
      <c r="V16" s="297" t="str">
        <f>IF(AND('Mapa final'!$H$28="Alta",'Mapa final'!$L$28="Moderado"),CONCATENATE("R",'Mapa final'!$A$28),"")</f>
        <v/>
      </c>
      <c r="W16" s="293"/>
      <c r="X16" s="293" t="str">
        <f>IF(AND('Mapa final'!$H$34="Alta",'Mapa final'!$L$34="Moderado"),CONCATENATE("R",'Mapa final'!$A$34),"")</f>
        <v/>
      </c>
      <c r="Y16" s="293"/>
      <c r="Z16" s="293" t="str">
        <f>IF(AND('Mapa final'!$H$40="Alta",'Mapa final'!$L$40="Moderado"),CONCATENATE("R",'Mapa final'!$A$40),"")</f>
        <v/>
      </c>
      <c r="AA16" s="294"/>
      <c r="AB16" s="297" t="str">
        <f>IF(AND('Mapa final'!$H$28="Alta",'Mapa final'!$L$28="Mayor"),CONCATENATE("R",'Mapa final'!$A$28),"")</f>
        <v/>
      </c>
      <c r="AC16" s="293"/>
      <c r="AD16" s="293" t="str">
        <f>IF(AND('Mapa final'!$H$34="Alta",'Mapa final'!$L$34="Mayor"),CONCATENATE("R",'Mapa final'!$A$34),"")</f>
        <v/>
      </c>
      <c r="AE16" s="293"/>
      <c r="AF16" s="293" t="str">
        <f>IF(AND('Mapa final'!$H$40="Alta",'Mapa final'!$L$40="Mayor"),CONCATENATE("R",'Mapa final'!$A$40),"")</f>
        <v/>
      </c>
      <c r="AG16" s="294"/>
      <c r="AH16" s="304" t="str">
        <f>IF(AND('Mapa final'!$H$28="Alta",'Mapa final'!$L$28="Catastrófico"),CONCATENATE("R",'Mapa final'!$A$28),"")</f>
        <v/>
      </c>
      <c r="AI16" s="305"/>
      <c r="AJ16" s="305" t="str">
        <f>IF(AND('Mapa final'!$H$34="Alta",'Mapa final'!$L$34="Catastrófico"),CONCATENATE("R",'Mapa final'!$A$34),"")</f>
        <v/>
      </c>
      <c r="AK16" s="305"/>
      <c r="AL16" s="305" t="str">
        <f>IF(AND('Mapa final'!$H$40="Alta",'Mapa final'!$L$40="Catastrófico"),CONCATENATE("R",'Mapa final'!$A$40),"")</f>
        <v/>
      </c>
      <c r="AM16" s="306"/>
      <c r="AN16" s="97"/>
      <c r="AO16" s="260"/>
      <c r="AP16" s="261"/>
      <c r="AQ16" s="261"/>
      <c r="AR16" s="261"/>
      <c r="AS16" s="261"/>
      <c r="AT16" s="262"/>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x14ac:dyDescent="0.25">
      <c r="A17" s="97"/>
      <c r="B17" s="246"/>
      <c r="C17" s="246"/>
      <c r="D17" s="247"/>
      <c r="E17" s="287"/>
      <c r="F17" s="288"/>
      <c r="G17" s="288"/>
      <c r="H17" s="288"/>
      <c r="I17" s="288"/>
      <c r="J17" s="313"/>
      <c r="K17" s="314"/>
      <c r="L17" s="314"/>
      <c r="M17" s="314"/>
      <c r="N17" s="314"/>
      <c r="O17" s="315"/>
      <c r="P17" s="313"/>
      <c r="Q17" s="314"/>
      <c r="R17" s="314"/>
      <c r="S17" s="314"/>
      <c r="T17" s="314"/>
      <c r="U17" s="315"/>
      <c r="V17" s="297"/>
      <c r="W17" s="293"/>
      <c r="X17" s="293"/>
      <c r="Y17" s="293"/>
      <c r="Z17" s="293"/>
      <c r="AA17" s="294"/>
      <c r="AB17" s="297"/>
      <c r="AC17" s="293"/>
      <c r="AD17" s="293"/>
      <c r="AE17" s="293"/>
      <c r="AF17" s="293"/>
      <c r="AG17" s="294"/>
      <c r="AH17" s="304"/>
      <c r="AI17" s="305"/>
      <c r="AJ17" s="305"/>
      <c r="AK17" s="305"/>
      <c r="AL17" s="305"/>
      <c r="AM17" s="306"/>
      <c r="AN17" s="97"/>
      <c r="AO17" s="260"/>
      <c r="AP17" s="261"/>
      <c r="AQ17" s="261"/>
      <c r="AR17" s="261"/>
      <c r="AS17" s="261"/>
      <c r="AT17" s="262"/>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x14ac:dyDescent="0.25">
      <c r="A18" s="97"/>
      <c r="B18" s="246"/>
      <c r="C18" s="246"/>
      <c r="D18" s="247"/>
      <c r="E18" s="287"/>
      <c r="F18" s="288"/>
      <c r="G18" s="288"/>
      <c r="H18" s="288"/>
      <c r="I18" s="288"/>
      <c r="J18" s="313" t="str">
        <f>IF(AND('Mapa final'!$H$46="Alta",'Mapa final'!$L$46="Leve"),CONCATENATE("R",'Mapa final'!$A$46),"")</f>
        <v/>
      </c>
      <c r="K18" s="314"/>
      <c r="L18" s="314" t="str">
        <f>IF(AND('Mapa final'!$H$52="Alta",'Mapa final'!$L$52="Leve"),CONCATENATE("R",'Mapa final'!$A$52),"")</f>
        <v/>
      </c>
      <c r="M18" s="314"/>
      <c r="N18" s="314" t="str">
        <f>IF(AND('Mapa final'!$H$58="Alta",'Mapa final'!$L$58="Leve"),CONCATENATE("R",'Mapa final'!$A$58),"")</f>
        <v/>
      </c>
      <c r="O18" s="315"/>
      <c r="P18" s="313" t="str">
        <f>IF(AND('Mapa final'!$H$46="Alta",'Mapa final'!$L$46="Menor"),CONCATENATE("R",'Mapa final'!$A$46),"")</f>
        <v/>
      </c>
      <c r="Q18" s="314"/>
      <c r="R18" s="314" t="str">
        <f>IF(AND('Mapa final'!$H$52="Alta",'Mapa final'!$L$52="Menor"),CONCATENATE("R",'Mapa final'!$A$52),"")</f>
        <v/>
      </c>
      <c r="S18" s="314"/>
      <c r="T18" s="314" t="str">
        <f>IF(AND('Mapa final'!$H$58="Alta",'Mapa final'!$L$58="Menor"),CONCATENATE("R",'Mapa final'!$A$58),"")</f>
        <v/>
      </c>
      <c r="U18" s="315"/>
      <c r="V18" s="297" t="str">
        <f>IF(AND('Mapa final'!$H$46="Alta",'Mapa final'!$L$46="Moderado"),CONCATENATE("R",'Mapa final'!$A$46),"")</f>
        <v/>
      </c>
      <c r="W18" s="293"/>
      <c r="X18" s="293" t="str">
        <f>IF(AND('Mapa final'!$H$52="Alta",'Mapa final'!$L$52="Moderado"),CONCATENATE("R",'Mapa final'!$A$52),"")</f>
        <v/>
      </c>
      <c r="Y18" s="293"/>
      <c r="Z18" s="293" t="str">
        <f>IF(AND('Mapa final'!$H$58="Alta",'Mapa final'!$L$58="Moderado"),CONCATENATE("R",'Mapa final'!$A$58),"")</f>
        <v/>
      </c>
      <c r="AA18" s="294"/>
      <c r="AB18" s="297" t="str">
        <f>IF(AND('Mapa final'!$H$46="Alta",'Mapa final'!$L$46="Mayor"),CONCATENATE("R",'Mapa final'!$A$46),"")</f>
        <v/>
      </c>
      <c r="AC18" s="293"/>
      <c r="AD18" s="293" t="str">
        <f>IF(AND('Mapa final'!$H$52="Alta",'Mapa final'!$L$52="Mayor"),CONCATENATE("R",'Mapa final'!$A$52),"")</f>
        <v/>
      </c>
      <c r="AE18" s="293"/>
      <c r="AF18" s="293" t="str">
        <f>IF(AND('Mapa final'!$H$58="Alta",'Mapa final'!$L$58="Mayor"),CONCATENATE("R",'Mapa final'!$A$58),"")</f>
        <v/>
      </c>
      <c r="AG18" s="294"/>
      <c r="AH18" s="304" t="str">
        <f>IF(AND('Mapa final'!$H$46="Alta",'Mapa final'!$L$46="Catastrófico"),CONCATENATE("R",'Mapa final'!$A$46),"")</f>
        <v/>
      </c>
      <c r="AI18" s="305"/>
      <c r="AJ18" s="305" t="str">
        <f>IF(AND('Mapa final'!$H$52="Alta",'Mapa final'!$L$52="Catastrófico"),CONCATENATE("R",'Mapa final'!$A$52),"")</f>
        <v/>
      </c>
      <c r="AK18" s="305"/>
      <c r="AL18" s="305" t="str">
        <f>IF(AND('Mapa final'!$H$58="Alta",'Mapa final'!$L$58="Catastrófico"),CONCATENATE("R",'Mapa final'!$A$58),"")</f>
        <v/>
      </c>
      <c r="AM18" s="306"/>
      <c r="AN18" s="97"/>
      <c r="AO18" s="260"/>
      <c r="AP18" s="261"/>
      <c r="AQ18" s="261"/>
      <c r="AR18" s="261"/>
      <c r="AS18" s="261"/>
      <c r="AT18" s="262"/>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x14ac:dyDescent="0.25">
      <c r="A19" s="97"/>
      <c r="B19" s="246"/>
      <c r="C19" s="246"/>
      <c r="D19" s="247"/>
      <c r="E19" s="287"/>
      <c r="F19" s="288"/>
      <c r="G19" s="288"/>
      <c r="H19" s="288"/>
      <c r="I19" s="288"/>
      <c r="J19" s="313"/>
      <c r="K19" s="314"/>
      <c r="L19" s="314"/>
      <c r="M19" s="314"/>
      <c r="N19" s="314"/>
      <c r="O19" s="315"/>
      <c r="P19" s="313"/>
      <c r="Q19" s="314"/>
      <c r="R19" s="314"/>
      <c r="S19" s="314"/>
      <c r="T19" s="314"/>
      <c r="U19" s="315"/>
      <c r="V19" s="297"/>
      <c r="W19" s="293"/>
      <c r="X19" s="293"/>
      <c r="Y19" s="293"/>
      <c r="Z19" s="293"/>
      <c r="AA19" s="294"/>
      <c r="AB19" s="297"/>
      <c r="AC19" s="293"/>
      <c r="AD19" s="293"/>
      <c r="AE19" s="293"/>
      <c r="AF19" s="293"/>
      <c r="AG19" s="294"/>
      <c r="AH19" s="304"/>
      <c r="AI19" s="305"/>
      <c r="AJ19" s="305"/>
      <c r="AK19" s="305"/>
      <c r="AL19" s="305"/>
      <c r="AM19" s="306"/>
      <c r="AN19" s="97"/>
      <c r="AO19" s="260"/>
      <c r="AP19" s="261"/>
      <c r="AQ19" s="261"/>
      <c r="AR19" s="261"/>
      <c r="AS19" s="261"/>
      <c r="AT19" s="262"/>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x14ac:dyDescent="0.25">
      <c r="A20" s="97"/>
      <c r="B20" s="246"/>
      <c r="C20" s="246"/>
      <c r="D20" s="247"/>
      <c r="E20" s="287"/>
      <c r="F20" s="288"/>
      <c r="G20" s="288"/>
      <c r="H20" s="288"/>
      <c r="I20" s="288"/>
      <c r="J20" s="313" t="str">
        <f>IF(AND('Mapa final'!$H$64="Alta",'Mapa final'!$L$64="Leve"),CONCATENATE("R",'Mapa final'!$A$64),"")</f>
        <v/>
      </c>
      <c r="K20" s="314"/>
      <c r="L20" s="314" t="str">
        <f>IF(AND('Mapa final'!$H$70="Alta",'Mapa final'!$L$70="Leve"),CONCATENATE("R",'Mapa final'!$A$70),"")</f>
        <v/>
      </c>
      <c r="M20" s="314"/>
      <c r="N20" s="314" t="str">
        <f>IF(AND('Mapa final'!$H$76="Alta",'Mapa final'!$L$76="Leve"),CONCATENATE("R",'Mapa final'!$A$76),"")</f>
        <v/>
      </c>
      <c r="O20" s="315"/>
      <c r="P20" s="313" t="str">
        <f>IF(AND('Mapa final'!$H$64="Alta",'Mapa final'!$L$64="Menor"),CONCATENATE("R",'Mapa final'!$A$64),"")</f>
        <v/>
      </c>
      <c r="Q20" s="314"/>
      <c r="R20" s="314" t="str">
        <f>IF(AND('Mapa final'!$H$70="Alta",'Mapa final'!$L$70="Menor"),CONCATENATE("R",'Mapa final'!$A$70),"")</f>
        <v/>
      </c>
      <c r="S20" s="314"/>
      <c r="T20" s="314" t="str">
        <f>IF(AND('Mapa final'!$H$76="Alta",'Mapa final'!$L$76="Menor"),CONCATENATE("R",'Mapa final'!$A$76),"")</f>
        <v/>
      </c>
      <c r="U20" s="315"/>
      <c r="V20" s="297" t="str">
        <f>IF(AND('Mapa final'!$H$64="Alta",'Mapa final'!$L$64="Moderado"),CONCATENATE("R",'Mapa final'!$A$64),"")</f>
        <v/>
      </c>
      <c r="W20" s="293"/>
      <c r="X20" s="293" t="str">
        <f>IF(AND('Mapa final'!$H$70="Alta",'Mapa final'!$L$70="Moderado"),CONCATENATE("R",'Mapa final'!$A$70),"")</f>
        <v/>
      </c>
      <c r="Y20" s="293"/>
      <c r="Z20" s="293" t="str">
        <f>IF(AND('Mapa final'!$H$76="Alta",'Mapa final'!$L$76="Moderado"),CONCATENATE("R",'Mapa final'!$A$76),"")</f>
        <v/>
      </c>
      <c r="AA20" s="294"/>
      <c r="AB20" s="297" t="str">
        <f>IF(AND('Mapa final'!$H$64="Alta",'Mapa final'!$L$64="Mayor"),CONCATENATE("R",'Mapa final'!$A$64),"")</f>
        <v/>
      </c>
      <c r="AC20" s="293"/>
      <c r="AD20" s="293" t="str">
        <f>IF(AND('Mapa final'!$H$70="Alta",'Mapa final'!$L$70="Mayor"),CONCATENATE("R",'Mapa final'!$A$70),"")</f>
        <v/>
      </c>
      <c r="AE20" s="293"/>
      <c r="AF20" s="293" t="str">
        <f>IF(AND('Mapa final'!$H$76="Alta",'Mapa final'!$L$76="Mayor"),CONCATENATE("R",'Mapa final'!$A$76),"")</f>
        <v/>
      </c>
      <c r="AG20" s="294"/>
      <c r="AH20" s="304" t="str">
        <f>IF(AND('Mapa final'!$H$64="Alta",'Mapa final'!$L$64="Catastrófico"),CONCATENATE("R",'Mapa final'!$A$64),"")</f>
        <v/>
      </c>
      <c r="AI20" s="305"/>
      <c r="AJ20" s="305" t="str">
        <f>IF(AND('Mapa final'!$H$70="Alta",'Mapa final'!$L$70="Catastrófico"),CONCATENATE("R",'Mapa final'!$A$70),"")</f>
        <v/>
      </c>
      <c r="AK20" s="305"/>
      <c r="AL20" s="305" t="str">
        <f>IF(AND('Mapa final'!$H$76="Alta",'Mapa final'!$L$76="Catastrófico"),CONCATENATE("R",'Mapa final'!$A$76),"")</f>
        <v/>
      </c>
      <c r="AM20" s="306"/>
      <c r="AN20" s="97"/>
      <c r="AO20" s="260"/>
      <c r="AP20" s="261"/>
      <c r="AQ20" s="261"/>
      <c r="AR20" s="261"/>
      <c r="AS20" s="261"/>
      <c r="AT20" s="262"/>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x14ac:dyDescent="0.3">
      <c r="A21" s="97"/>
      <c r="B21" s="246"/>
      <c r="C21" s="246"/>
      <c r="D21" s="247"/>
      <c r="E21" s="290"/>
      <c r="F21" s="291"/>
      <c r="G21" s="291"/>
      <c r="H21" s="291"/>
      <c r="I21" s="291"/>
      <c r="J21" s="316"/>
      <c r="K21" s="317"/>
      <c r="L21" s="317"/>
      <c r="M21" s="317"/>
      <c r="N21" s="317"/>
      <c r="O21" s="318"/>
      <c r="P21" s="316"/>
      <c r="Q21" s="317"/>
      <c r="R21" s="317"/>
      <c r="S21" s="317"/>
      <c r="T21" s="317"/>
      <c r="U21" s="318"/>
      <c r="V21" s="301"/>
      <c r="W21" s="302"/>
      <c r="X21" s="302"/>
      <c r="Y21" s="302"/>
      <c r="Z21" s="302"/>
      <c r="AA21" s="303"/>
      <c r="AB21" s="301"/>
      <c r="AC21" s="302"/>
      <c r="AD21" s="302"/>
      <c r="AE21" s="302"/>
      <c r="AF21" s="302"/>
      <c r="AG21" s="303"/>
      <c r="AH21" s="307"/>
      <c r="AI21" s="308"/>
      <c r="AJ21" s="308"/>
      <c r="AK21" s="308"/>
      <c r="AL21" s="308"/>
      <c r="AM21" s="309"/>
      <c r="AN21" s="97"/>
      <c r="AO21" s="263"/>
      <c r="AP21" s="264"/>
      <c r="AQ21" s="264"/>
      <c r="AR21" s="264"/>
      <c r="AS21" s="264"/>
      <c r="AT21" s="265"/>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x14ac:dyDescent="0.25">
      <c r="A22" s="97"/>
      <c r="B22" s="246"/>
      <c r="C22" s="246"/>
      <c r="D22" s="247"/>
      <c r="E22" s="284" t="s">
        <v>117</v>
      </c>
      <c r="F22" s="285"/>
      <c r="G22" s="285"/>
      <c r="H22" s="285"/>
      <c r="I22" s="286"/>
      <c r="J22" s="319" t="str">
        <f>IF(AND('Mapa final'!$H$10="Media",'Mapa final'!$L$10="Leve"),CONCATENATE("R",'Mapa final'!$A$10),"")</f>
        <v/>
      </c>
      <c r="K22" s="320"/>
      <c r="L22" s="320" t="str">
        <f>IF(AND('Mapa final'!$H$16="Media",'Mapa final'!$L$16="Leve"),CONCATENATE("R",'Mapa final'!$A$16),"")</f>
        <v/>
      </c>
      <c r="M22" s="320"/>
      <c r="N22" s="320" t="str">
        <f>IF(AND('Mapa final'!$H$22="Media",'Mapa final'!$L$22="Leve"),CONCATENATE("R",'Mapa final'!$A$22),"")</f>
        <v/>
      </c>
      <c r="O22" s="321"/>
      <c r="P22" s="319" t="str">
        <f>IF(AND('Mapa final'!$H$10="Media",'Mapa final'!$L$10="Menor"),CONCATENATE("R",'Mapa final'!$A$10),"")</f>
        <v/>
      </c>
      <c r="Q22" s="320"/>
      <c r="R22" s="320" t="str">
        <f>IF(AND('Mapa final'!$H$16="Media",'Mapa final'!$L$16="Menor"),CONCATENATE("R",'Mapa final'!$A$16),"")</f>
        <v/>
      </c>
      <c r="S22" s="320"/>
      <c r="T22" s="320" t="str">
        <f>IF(AND('Mapa final'!$H$22="Media",'Mapa final'!$L$22="Menor"),CONCATENATE("R",'Mapa final'!$A$22),"")</f>
        <v/>
      </c>
      <c r="U22" s="321"/>
      <c r="V22" s="319" t="str">
        <f>IF(AND('Mapa final'!$H$10="Media",'Mapa final'!$L$10="Moderado"),CONCATENATE("R",'Mapa final'!$A$10),"")</f>
        <v/>
      </c>
      <c r="W22" s="320"/>
      <c r="X22" s="320" t="str">
        <f>IF(AND('Mapa final'!$H$16="Media",'Mapa final'!$L$16="Moderado"),CONCATENATE("R",'Mapa final'!$A$16),"")</f>
        <v/>
      </c>
      <c r="Y22" s="320"/>
      <c r="Z22" s="320" t="str">
        <f>IF(AND('Mapa final'!$H$22="Media",'Mapa final'!$L$22="Moderado"),CONCATENATE("R",'Mapa final'!$A$22),"")</f>
        <v/>
      </c>
      <c r="AA22" s="321"/>
      <c r="AB22" s="295" t="str">
        <f>IF(AND('Mapa final'!$H$10="Media",'Mapa final'!$L$10="Mayor"),CONCATENATE("R",'Mapa final'!$A$10),"")</f>
        <v/>
      </c>
      <c r="AC22" s="296"/>
      <c r="AD22" s="296" t="str">
        <f>IF(AND('Mapa final'!$H$16="Media",'Mapa final'!$L$16="Mayor"),CONCATENATE("R",'Mapa final'!$A$16),"")</f>
        <v/>
      </c>
      <c r="AE22" s="296"/>
      <c r="AF22" s="296" t="str">
        <f>IF(AND('Mapa final'!$H$22="Media",'Mapa final'!$L$22="Mayor"),CONCATENATE("R",'Mapa final'!$A$22),"")</f>
        <v/>
      </c>
      <c r="AG22" s="298"/>
      <c r="AH22" s="310" t="str">
        <f>IF(AND('Mapa final'!$H$10="Media",'Mapa final'!$L$10="Catastrófico"),CONCATENATE("R",'Mapa final'!$A$10),"")</f>
        <v/>
      </c>
      <c r="AI22" s="311"/>
      <c r="AJ22" s="311" t="str">
        <f>IF(AND('Mapa final'!$H$16="Media",'Mapa final'!$L$16="Catastrófico"),CONCATENATE("R",'Mapa final'!$A$16),"")</f>
        <v/>
      </c>
      <c r="AK22" s="311"/>
      <c r="AL22" s="311" t="str">
        <f>IF(AND('Mapa final'!$H$22="Media",'Mapa final'!$L$22="Catastrófico"),CONCATENATE("R",'Mapa final'!$A$22),"")</f>
        <v/>
      </c>
      <c r="AM22" s="312"/>
      <c r="AN22" s="97"/>
      <c r="AO22" s="266" t="s">
        <v>81</v>
      </c>
      <c r="AP22" s="267"/>
      <c r="AQ22" s="267"/>
      <c r="AR22" s="267"/>
      <c r="AS22" s="267"/>
      <c r="AT22" s="268"/>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x14ac:dyDescent="0.25">
      <c r="A23" s="97"/>
      <c r="B23" s="246"/>
      <c r="C23" s="246"/>
      <c r="D23" s="247"/>
      <c r="E23" s="287"/>
      <c r="F23" s="288"/>
      <c r="G23" s="288"/>
      <c r="H23" s="288"/>
      <c r="I23" s="289"/>
      <c r="J23" s="313"/>
      <c r="K23" s="314"/>
      <c r="L23" s="314"/>
      <c r="M23" s="314"/>
      <c r="N23" s="314"/>
      <c r="O23" s="315"/>
      <c r="P23" s="313"/>
      <c r="Q23" s="314"/>
      <c r="R23" s="314"/>
      <c r="S23" s="314"/>
      <c r="T23" s="314"/>
      <c r="U23" s="315"/>
      <c r="V23" s="313"/>
      <c r="W23" s="314"/>
      <c r="X23" s="314"/>
      <c r="Y23" s="314"/>
      <c r="Z23" s="314"/>
      <c r="AA23" s="315"/>
      <c r="AB23" s="297"/>
      <c r="AC23" s="293"/>
      <c r="AD23" s="293"/>
      <c r="AE23" s="293"/>
      <c r="AF23" s="293"/>
      <c r="AG23" s="294"/>
      <c r="AH23" s="304"/>
      <c r="AI23" s="305"/>
      <c r="AJ23" s="305"/>
      <c r="AK23" s="305"/>
      <c r="AL23" s="305"/>
      <c r="AM23" s="306"/>
      <c r="AN23" s="97"/>
      <c r="AO23" s="269"/>
      <c r="AP23" s="270"/>
      <c r="AQ23" s="270"/>
      <c r="AR23" s="270"/>
      <c r="AS23" s="270"/>
      <c r="AT23" s="271"/>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x14ac:dyDescent="0.25">
      <c r="A24" s="97"/>
      <c r="B24" s="246"/>
      <c r="C24" s="246"/>
      <c r="D24" s="247"/>
      <c r="E24" s="287"/>
      <c r="F24" s="288"/>
      <c r="G24" s="288"/>
      <c r="H24" s="288"/>
      <c r="I24" s="289"/>
      <c r="J24" s="313" t="str">
        <f>IF(AND('Mapa final'!$H$28="Media",'Mapa final'!$L$28="Leve"),CONCATENATE("R",'Mapa final'!$A$28),"")</f>
        <v/>
      </c>
      <c r="K24" s="314"/>
      <c r="L24" s="314" t="str">
        <f>IF(AND('Mapa final'!$H$34="Media",'Mapa final'!$L$34="Leve"),CONCATENATE("R",'Mapa final'!$A$34),"")</f>
        <v/>
      </c>
      <c r="M24" s="314"/>
      <c r="N24" s="314" t="str">
        <f>IF(AND('Mapa final'!$H$40="Media",'Mapa final'!$L$40="Leve"),CONCATENATE("R",'Mapa final'!$A$40),"")</f>
        <v/>
      </c>
      <c r="O24" s="315"/>
      <c r="P24" s="313" t="str">
        <f>IF(AND('Mapa final'!$H$28="Media",'Mapa final'!$L$28="Menor"),CONCATENATE("R",'Mapa final'!$A$28),"")</f>
        <v/>
      </c>
      <c r="Q24" s="314"/>
      <c r="R24" s="314" t="str">
        <f>IF(AND('Mapa final'!$H$34="Media",'Mapa final'!$L$34="Menor"),CONCATENATE("R",'Mapa final'!$A$34),"")</f>
        <v/>
      </c>
      <c r="S24" s="314"/>
      <c r="T24" s="314" t="str">
        <f>IF(AND('Mapa final'!$H$40="Media",'Mapa final'!$L$40="Menor"),CONCATENATE("R",'Mapa final'!$A$40),"")</f>
        <v/>
      </c>
      <c r="U24" s="315"/>
      <c r="V24" s="313" t="str">
        <f>IF(AND('Mapa final'!$H$28="Media",'Mapa final'!$L$28="Moderado"),CONCATENATE("R",'Mapa final'!$A$28),"")</f>
        <v/>
      </c>
      <c r="W24" s="314"/>
      <c r="X24" s="314" t="str">
        <f>IF(AND('Mapa final'!$H$34="Media",'Mapa final'!$L$34="Moderado"),CONCATENATE("R",'Mapa final'!$A$34),"")</f>
        <v/>
      </c>
      <c r="Y24" s="314"/>
      <c r="Z24" s="314" t="str">
        <f>IF(AND('Mapa final'!$H$40="Media",'Mapa final'!$L$40="Moderado"),CONCATENATE("R",'Mapa final'!$A$40),"")</f>
        <v/>
      </c>
      <c r="AA24" s="315"/>
      <c r="AB24" s="297" t="str">
        <f>IF(AND('Mapa final'!$H$28="Media",'Mapa final'!$L$28="Mayor"),CONCATENATE("R",'Mapa final'!$A$28),"")</f>
        <v/>
      </c>
      <c r="AC24" s="293"/>
      <c r="AD24" s="293" t="str">
        <f>IF(AND('Mapa final'!$H$34="Media",'Mapa final'!$L$34="Mayor"),CONCATENATE("R",'Mapa final'!$A$34),"")</f>
        <v/>
      </c>
      <c r="AE24" s="293"/>
      <c r="AF24" s="293" t="str">
        <f>IF(AND('Mapa final'!$H$40="Media",'Mapa final'!$L$40="Mayor"),CONCATENATE("R",'Mapa final'!$A$40),"")</f>
        <v/>
      </c>
      <c r="AG24" s="294"/>
      <c r="AH24" s="304" t="str">
        <f>IF(AND('Mapa final'!$H$28="Media",'Mapa final'!$L$28="Catastrófico"),CONCATENATE("R",'Mapa final'!$A$28),"")</f>
        <v/>
      </c>
      <c r="AI24" s="305"/>
      <c r="AJ24" s="305" t="str">
        <f>IF(AND('Mapa final'!$H$34="Media",'Mapa final'!$L$34="Catastrófico"),CONCATENATE("R",'Mapa final'!$A$34),"")</f>
        <v/>
      </c>
      <c r="AK24" s="305"/>
      <c r="AL24" s="305" t="str">
        <f>IF(AND('Mapa final'!$H$40="Media",'Mapa final'!$L$40="Catastrófico"),CONCATENATE("R",'Mapa final'!$A$40),"")</f>
        <v/>
      </c>
      <c r="AM24" s="306"/>
      <c r="AN24" s="97"/>
      <c r="AO24" s="269"/>
      <c r="AP24" s="270"/>
      <c r="AQ24" s="270"/>
      <c r="AR24" s="270"/>
      <c r="AS24" s="270"/>
      <c r="AT24" s="271"/>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x14ac:dyDescent="0.25">
      <c r="A25" s="97"/>
      <c r="B25" s="246"/>
      <c r="C25" s="246"/>
      <c r="D25" s="247"/>
      <c r="E25" s="287"/>
      <c r="F25" s="288"/>
      <c r="G25" s="288"/>
      <c r="H25" s="288"/>
      <c r="I25" s="289"/>
      <c r="J25" s="313"/>
      <c r="K25" s="314"/>
      <c r="L25" s="314"/>
      <c r="M25" s="314"/>
      <c r="N25" s="314"/>
      <c r="O25" s="315"/>
      <c r="P25" s="313"/>
      <c r="Q25" s="314"/>
      <c r="R25" s="314"/>
      <c r="S25" s="314"/>
      <c r="T25" s="314"/>
      <c r="U25" s="315"/>
      <c r="V25" s="313"/>
      <c r="W25" s="314"/>
      <c r="X25" s="314"/>
      <c r="Y25" s="314"/>
      <c r="Z25" s="314"/>
      <c r="AA25" s="315"/>
      <c r="AB25" s="297"/>
      <c r="AC25" s="293"/>
      <c r="AD25" s="293"/>
      <c r="AE25" s="293"/>
      <c r="AF25" s="293"/>
      <c r="AG25" s="294"/>
      <c r="AH25" s="304"/>
      <c r="AI25" s="305"/>
      <c r="AJ25" s="305"/>
      <c r="AK25" s="305"/>
      <c r="AL25" s="305"/>
      <c r="AM25" s="306"/>
      <c r="AN25" s="97"/>
      <c r="AO25" s="269"/>
      <c r="AP25" s="270"/>
      <c r="AQ25" s="270"/>
      <c r="AR25" s="270"/>
      <c r="AS25" s="270"/>
      <c r="AT25" s="271"/>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x14ac:dyDescent="0.25">
      <c r="A26" s="97"/>
      <c r="B26" s="246"/>
      <c r="C26" s="246"/>
      <c r="D26" s="247"/>
      <c r="E26" s="287"/>
      <c r="F26" s="288"/>
      <c r="G26" s="288"/>
      <c r="H26" s="288"/>
      <c r="I26" s="289"/>
      <c r="J26" s="313" t="str">
        <f>IF(AND('Mapa final'!$H$46="Media",'Mapa final'!$L$46="Leve"),CONCATENATE("R",'Mapa final'!$A$46),"")</f>
        <v/>
      </c>
      <c r="K26" s="314"/>
      <c r="L26" s="314" t="str">
        <f>IF(AND('Mapa final'!$H$52="Media",'Mapa final'!$L$52="Leve"),CONCATENATE("R",'Mapa final'!$A$52),"")</f>
        <v/>
      </c>
      <c r="M26" s="314"/>
      <c r="N26" s="314" t="str">
        <f>IF(AND('Mapa final'!$H$58="Media",'Mapa final'!$L$58="Leve"),CONCATENATE("R",'Mapa final'!$A$58),"")</f>
        <v/>
      </c>
      <c r="O26" s="315"/>
      <c r="P26" s="313" t="str">
        <f>IF(AND('Mapa final'!$H$46="Media",'Mapa final'!$L$46="Menor"),CONCATENATE("R",'Mapa final'!$A$46),"")</f>
        <v/>
      </c>
      <c r="Q26" s="314"/>
      <c r="R26" s="314" t="str">
        <f>IF(AND('Mapa final'!$H$52="Media",'Mapa final'!$L$52="Menor"),CONCATENATE("R",'Mapa final'!$A$52),"")</f>
        <v/>
      </c>
      <c r="S26" s="314"/>
      <c r="T26" s="314" t="str">
        <f>IF(AND('Mapa final'!$H$58="Media",'Mapa final'!$L$58="Menor"),CONCATENATE("R",'Mapa final'!$A$58),"")</f>
        <v/>
      </c>
      <c r="U26" s="315"/>
      <c r="V26" s="313" t="str">
        <f>IF(AND('Mapa final'!$H$46="Media",'Mapa final'!$L$46="Moderado"),CONCATENATE("R",'Mapa final'!$A$46),"")</f>
        <v/>
      </c>
      <c r="W26" s="314"/>
      <c r="X26" s="314" t="str">
        <f>IF(AND('Mapa final'!$H$52="Media",'Mapa final'!$L$52="Moderado"),CONCATENATE("R",'Mapa final'!$A$52),"")</f>
        <v/>
      </c>
      <c r="Y26" s="314"/>
      <c r="Z26" s="314" t="str">
        <f>IF(AND('Mapa final'!$H$58="Media",'Mapa final'!$L$58="Moderado"),CONCATENATE("R",'Mapa final'!$A$58),"")</f>
        <v/>
      </c>
      <c r="AA26" s="315"/>
      <c r="AB26" s="297" t="str">
        <f>IF(AND('Mapa final'!$H$46="Media",'Mapa final'!$L$46="Mayor"),CONCATENATE("R",'Mapa final'!$A$46),"")</f>
        <v/>
      </c>
      <c r="AC26" s="293"/>
      <c r="AD26" s="293" t="str">
        <f>IF(AND('Mapa final'!$H$52="Media",'Mapa final'!$L$52="Mayor"),CONCATENATE("R",'Mapa final'!$A$52),"")</f>
        <v/>
      </c>
      <c r="AE26" s="293"/>
      <c r="AF26" s="293" t="str">
        <f>IF(AND('Mapa final'!$H$58="Media",'Mapa final'!$L$58="Mayor"),CONCATENATE("R",'Mapa final'!$A$58),"")</f>
        <v/>
      </c>
      <c r="AG26" s="294"/>
      <c r="AH26" s="304" t="str">
        <f>IF(AND('Mapa final'!$H$46="Media",'Mapa final'!$L$46="Catastrófico"),CONCATENATE("R",'Mapa final'!$A$46),"")</f>
        <v/>
      </c>
      <c r="AI26" s="305"/>
      <c r="AJ26" s="305" t="str">
        <f>IF(AND('Mapa final'!$H$52="Media",'Mapa final'!$L$52="Catastrófico"),CONCATENATE("R",'Mapa final'!$A$52),"")</f>
        <v/>
      </c>
      <c r="AK26" s="305"/>
      <c r="AL26" s="305" t="str">
        <f>IF(AND('Mapa final'!$H$58="Media",'Mapa final'!$L$58="Catastrófico"),CONCATENATE("R",'Mapa final'!$A$58),"")</f>
        <v/>
      </c>
      <c r="AM26" s="306"/>
      <c r="AN26" s="97"/>
      <c r="AO26" s="269"/>
      <c r="AP26" s="270"/>
      <c r="AQ26" s="270"/>
      <c r="AR26" s="270"/>
      <c r="AS26" s="270"/>
      <c r="AT26" s="271"/>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x14ac:dyDescent="0.25">
      <c r="A27" s="97"/>
      <c r="B27" s="246"/>
      <c r="C27" s="246"/>
      <c r="D27" s="247"/>
      <c r="E27" s="287"/>
      <c r="F27" s="288"/>
      <c r="G27" s="288"/>
      <c r="H27" s="288"/>
      <c r="I27" s="289"/>
      <c r="J27" s="313"/>
      <c r="K27" s="314"/>
      <c r="L27" s="314"/>
      <c r="M27" s="314"/>
      <c r="N27" s="314"/>
      <c r="O27" s="315"/>
      <c r="P27" s="313"/>
      <c r="Q27" s="314"/>
      <c r="R27" s="314"/>
      <c r="S27" s="314"/>
      <c r="T27" s="314"/>
      <c r="U27" s="315"/>
      <c r="V27" s="313"/>
      <c r="W27" s="314"/>
      <c r="X27" s="314"/>
      <c r="Y27" s="314"/>
      <c r="Z27" s="314"/>
      <c r="AA27" s="315"/>
      <c r="AB27" s="297"/>
      <c r="AC27" s="293"/>
      <c r="AD27" s="293"/>
      <c r="AE27" s="293"/>
      <c r="AF27" s="293"/>
      <c r="AG27" s="294"/>
      <c r="AH27" s="304"/>
      <c r="AI27" s="305"/>
      <c r="AJ27" s="305"/>
      <c r="AK27" s="305"/>
      <c r="AL27" s="305"/>
      <c r="AM27" s="306"/>
      <c r="AN27" s="97"/>
      <c r="AO27" s="269"/>
      <c r="AP27" s="270"/>
      <c r="AQ27" s="270"/>
      <c r="AR27" s="270"/>
      <c r="AS27" s="270"/>
      <c r="AT27" s="271"/>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x14ac:dyDescent="0.25">
      <c r="A28" s="97"/>
      <c r="B28" s="246"/>
      <c r="C28" s="246"/>
      <c r="D28" s="247"/>
      <c r="E28" s="287"/>
      <c r="F28" s="288"/>
      <c r="G28" s="288"/>
      <c r="H28" s="288"/>
      <c r="I28" s="289"/>
      <c r="J28" s="313" t="str">
        <f>IF(AND('Mapa final'!$H$64="Media",'Mapa final'!$L$64="Leve"),CONCATENATE("R",'Mapa final'!$A$64),"")</f>
        <v/>
      </c>
      <c r="K28" s="314"/>
      <c r="L28" s="314" t="str">
        <f>IF(AND('Mapa final'!$H$70="Media",'Mapa final'!$L$70="Leve"),CONCATENATE("R",'Mapa final'!$A$70),"")</f>
        <v/>
      </c>
      <c r="M28" s="314"/>
      <c r="N28" s="314" t="str">
        <f>IF(AND('Mapa final'!$H$76="Media",'Mapa final'!$L$76="Leve"),CONCATENATE("R",'Mapa final'!$A$76),"")</f>
        <v/>
      </c>
      <c r="O28" s="315"/>
      <c r="P28" s="313" t="str">
        <f>IF(AND('Mapa final'!$H$64="Media",'Mapa final'!$L$64="Menor"),CONCATENATE("R",'Mapa final'!$A$64),"")</f>
        <v/>
      </c>
      <c r="Q28" s="314"/>
      <c r="R28" s="314" t="str">
        <f>IF(AND('Mapa final'!$H$70="Media",'Mapa final'!$L$70="Menor"),CONCATENATE("R",'Mapa final'!$A$70),"")</f>
        <v/>
      </c>
      <c r="S28" s="314"/>
      <c r="T28" s="314" t="str">
        <f>IF(AND('Mapa final'!$H$76="Media",'Mapa final'!$L$76="Menor"),CONCATENATE("R",'Mapa final'!$A$76),"")</f>
        <v/>
      </c>
      <c r="U28" s="315"/>
      <c r="V28" s="313" t="str">
        <f>IF(AND('Mapa final'!$H$64="Media",'Mapa final'!$L$64="Moderado"),CONCATENATE("R",'Mapa final'!$A$64),"")</f>
        <v/>
      </c>
      <c r="W28" s="314"/>
      <c r="X28" s="314" t="str">
        <f>IF(AND('Mapa final'!$H$70="Media",'Mapa final'!$L$70="Moderado"),CONCATENATE("R",'Mapa final'!$A$70),"")</f>
        <v/>
      </c>
      <c r="Y28" s="314"/>
      <c r="Z28" s="314" t="str">
        <f>IF(AND('Mapa final'!$H$76="Media",'Mapa final'!$L$76="Moderado"),CONCATENATE("R",'Mapa final'!$A$76),"")</f>
        <v/>
      </c>
      <c r="AA28" s="315"/>
      <c r="AB28" s="297" t="str">
        <f>IF(AND('Mapa final'!$H$64="Media",'Mapa final'!$L$64="Mayor"),CONCATENATE("R",'Mapa final'!$A$64),"")</f>
        <v/>
      </c>
      <c r="AC28" s="293"/>
      <c r="AD28" s="293" t="str">
        <f>IF(AND('Mapa final'!$H$70="Media",'Mapa final'!$L$70="Mayor"),CONCATENATE("R",'Mapa final'!$A$70),"")</f>
        <v/>
      </c>
      <c r="AE28" s="293"/>
      <c r="AF28" s="293" t="str">
        <f>IF(AND('Mapa final'!$H$76="Media",'Mapa final'!$L$76="Mayor"),CONCATENATE("R",'Mapa final'!$A$76),"")</f>
        <v/>
      </c>
      <c r="AG28" s="294"/>
      <c r="AH28" s="304" t="str">
        <f>IF(AND('Mapa final'!$H$64="Media",'Mapa final'!$L$64="Catastrófico"),CONCATENATE("R",'Mapa final'!$A$64),"")</f>
        <v/>
      </c>
      <c r="AI28" s="305"/>
      <c r="AJ28" s="305" t="str">
        <f>IF(AND('Mapa final'!$H$70="Media",'Mapa final'!$L$70="Catastrófico"),CONCATENATE("R",'Mapa final'!$A$70),"")</f>
        <v/>
      </c>
      <c r="AK28" s="305"/>
      <c r="AL28" s="305" t="str">
        <f>IF(AND('Mapa final'!$H$76="Media",'Mapa final'!$L$76="Catastrófico"),CONCATENATE("R",'Mapa final'!$A$76),"")</f>
        <v/>
      </c>
      <c r="AM28" s="306"/>
      <c r="AN28" s="97"/>
      <c r="AO28" s="269"/>
      <c r="AP28" s="270"/>
      <c r="AQ28" s="270"/>
      <c r="AR28" s="270"/>
      <c r="AS28" s="270"/>
      <c r="AT28" s="271"/>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x14ac:dyDescent="0.3">
      <c r="A29" s="97"/>
      <c r="B29" s="246"/>
      <c r="C29" s="246"/>
      <c r="D29" s="247"/>
      <c r="E29" s="290"/>
      <c r="F29" s="291"/>
      <c r="G29" s="291"/>
      <c r="H29" s="291"/>
      <c r="I29" s="292"/>
      <c r="J29" s="313"/>
      <c r="K29" s="314"/>
      <c r="L29" s="314"/>
      <c r="M29" s="314"/>
      <c r="N29" s="314"/>
      <c r="O29" s="315"/>
      <c r="P29" s="316"/>
      <c r="Q29" s="317"/>
      <c r="R29" s="317"/>
      <c r="S29" s="317"/>
      <c r="T29" s="317"/>
      <c r="U29" s="318"/>
      <c r="V29" s="316"/>
      <c r="W29" s="317"/>
      <c r="X29" s="317"/>
      <c r="Y29" s="317"/>
      <c r="Z29" s="317"/>
      <c r="AA29" s="318"/>
      <c r="AB29" s="301"/>
      <c r="AC29" s="302"/>
      <c r="AD29" s="302"/>
      <c r="AE29" s="302"/>
      <c r="AF29" s="302"/>
      <c r="AG29" s="303"/>
      <c r="AH29" s="307"/>
      <c r="AI29" s="308"/>
      <c r="AJ29" s="308"/>
      <c r="AK29" s="308"/>
      <c r="AL29" s="308"/>
      <c r="AM29" s="309"/>
      <c r="AN29" s="97"/>
      <c r="AO29" s="272"/>
      <c r="AP29" s="273"/>
      <c r="AQ29" s="273"/>
      <c r="AR29" s="273"/>
      <c r="AS29" s="273"/>
      <c r="AT29" s="274"/>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x14ac:dyDescent="0.25">
      <c r="A30" s="97"/>
      <c r="B30" s="246"/>
      <c r="C30" s="246"/>
      <c r="D30" s="247"/>
      <c r="E30" s="284" t="s">
        <v>114</v>
      </c>
      <c r="F30" s="285"/>
      <c r="G30" s="285"/>
      <c r="H30" s="285"/>
      <c r="I30" s="285"/>
      <c r="J30" s="328" t="str">
        <f>IF(AND('Mapa final'!$H$10="Baja",'Mapa final'!$L$10="Leve"),CONCATENATE("R",'Mapa final'!$A$10),"")</f>
        <v/>
      </c>
      <c r="K30" s="329"/>
      <c r="L30" s="329" t="str">
        <f>IF(AND('Mapa final'!$H$16="Baja",'Mapa final'!$L$16="Leve"),CONCATENATE("R",'Mapa final'!$A$16),"")</f>
        <v/>
      </c>
      <c r="M30" s="329"/>
      <c r="N30" s="329" t="str">
        <f>IF(AND('Mapa final'!$H$22="Baja",'Mapa final'!$L$22="Leve"),CONCATENATE("R",'Mapa final'!$A$22),"")</f>
        <v>R3</v>
      </c>
      <c r="O30" s="330"/>
      <c r="P30" s="320" t="str">
        <f>IF(AND('Mapa final'!$H$10="Baja",'Mapa final'!$L$10="Menor"),CONCATENATE("R",'Mapa final'!$A$10),"")</f>
        <v>R1</v>
      </c>
      <c r="Q30" s="320"/>
      <c r="R30" s="320" t="str">
        <f>IF(AND('Mapa final'!$H$16="Baja",'Mapa final'!$L$16="Menor"),CONCATENATE("R",'Mapa final'!$A$16),"")</f>
        <v/>
      </c>
      <c r="S30" s="320"/>
      <c r="T30" s="320" t="str">
        <f>IF(AND('Mapa final'!$H$22="Baja",'Mapa final'!$L$22="Menor"),CONCATENATE("R",'Mapa final'!$A$22),"")</f>
        <v/>
      </c>
      <c r="U30" s="321"/>
      <c r="V30" s="319" t="str">
        <f>IF(AND('Mapa final'!$H$10="Baja",'Mapa final'!$L$10="Moderado"),CONCATENATE("R",'Mapa final'!$A$10),"")</f>
        <v/>
      </c>
      <c r="W30" s="320"/>
      <c r="X30" s="320" t="str">
        <f>IF(AND('Mapa final'!$H$16="Baja",'Mapa final'!$L$16="Moderado"),CONCATENATE("R",'Mapa final'!$A$16),"")</f>
        <v>R2</v>
      </c>
      <c r="Y30" s="320"/>
      <c r="Z30" s="320" t="str">
        <f>IF(AND('Mapa final'!$H$22="Baja",'Mapa final'!$L$22="Moderado"),CONCATENATE("R",'Mapa final'!$A$22),"")</f>
        <v/>
      </c>
      <c r="AA30" s="321"/>
      <c r="AB30" s="295" t="str">
        <f>IF(AND('Mapa final'!$H$10="Baja",'Mapa final'!$L$10="Mayor"),CONCATENATE("R",'Mapa final'!$A$10),"")</f>
        <v/>
      </c>
      <c r="AC30" s="296"/>
      <c r="AD30" s="296" t="str">
        <f>IF(AND('Mapa final'!$H$16="Baja",'Mapa final'!$L$16="Mayor"),CONCATENATE("R",'Mapa final'!$A$16),"")</f>
        <v/>
      </c>
      <c r="AE30" s="296"/>
      <c r="AF30" s="296" t="str">
        <f>IF(AND('Mapa final'!$H$22="Baja",'Mapa final'!$L$22="Mayor"),CONCATENATE("R",'Mapa final'!$A$22),"")</f>
        <v/>
      </c>
      <c r="AG30" s="298"/>
      <c r="AH30" s="310" t="str">
        <f>IF(AND('Mapa final'!$H$10="Baja",'Mapa final'!$L$10="Catastrófico"),CONCATENATE("R",'Mapa final'!$A$10),"")</f>
        <v/>
      </c>
      <c r="AI30" s="311"/>
      <c r="AJ30" s="311" t="str">
        <f>IF(AND('Mapa final'!$H$16="Baja",'Mapa final'!$L$16="Catastrófico"),CONCATENATE("R",'Mapa final'!$A$16),"")</f>
        <v/>
      </c>
      <c r="AK30" s="311"/>
      <c r="AL30" s="311" t="str">
        <f>IF(AND('Mapa final'!$H$22="Baja",'Mapa final'!$L$22="Catastrófico"),CONCATENATE("R",'Mapa final'!$A$22),"")</f>
        <v/>
      </c>
      <c r="AM30" s="312"/>
      <c r="AN30" s="97"/>
      <c r="AO30" s="275" t="s">
        <v>82</v>
      </c>
      <c r="AP30" s="276"/>
      <c r="AQ30" s="276"/>
      <c r="AR30" s="276"/>
      <c r="AS30" s="276"/>
      <c r="AT30" s="27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x14ac:dyDescent="0.25">
      <c r="A31" s="97"/>
      <c r="B31" s="246"/>
      <c r="C31" s="246"/>
      <c r="D31" s="247"/>
      <c r="E31" s="287"/>
      <c r="F31" s="288"/>
      <c r="G31" s="288"/>
      <c r="H31" s="288"/>
      <c r="I31" s="288"/>
      <c r="J31" s="324"/>
      <c r="K31" s="322"/>
      <c r="L31" s="322"/>
      <c r="M31" s="322"/>
      <c r="N31" s="322"/>
      <c r="O31" s="323"/>
      <c r="P31" s="314"/>
      <c r="Q31" s="314"/>
      <c r="R31" s="314"/>
      <c r="S31" s="314"/>
      <c r="T31" s="314"/>
      <c r="U31" s="315"/>
      <c r="V31" s="313"/>
      <c r="W31" s="314"/>
      <c r="X31" s="314"/>
      <c r="Y31" s="314"/>
      <c r="Z31" s="314"/>
      <c r="AA31" s="315"/>
      <c r="AB31" s="297"/>
      <c r="AC31" s="293"/>
      <c r="AD31" s="293"/>
      <c r="AE31" s="293"/>
      <c r="AF31" s="293"/>
      <c r="AG31" s="294"/>
      <c r="AH31" s="304"/>
      <c r="AI31" s="305"/>
      <c r="AJ31" s="305"/>
      <c r="AK31" s="305"/>
      <c r="AL31" s="305"/>
      <c r="AM31" s="306"/>
      <c r="AN31" s="97"/>
      <c r="AO31" s="278"/>
      <c r="AP31" s="279"/>
      <c r="AQ31" s="279"/>
      <c r="AR31" s="279"/>
      <c r="AS31" s="279"/>
      <c r="AT31" s="280"/>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x14ac:dyDescent="0.25">
      <c r="A32" s="97"/>
      <c r="B32" s="246"/>
      <c r="C32" s="246"/>
      <c r="D32" s="247"/>
      <c r="E32" s="287"/>
      <c r="F32" s="288"/>
      <c r="G32" s="288"/>
      <c r="H32" s="288"/>
      <c r="I32" s="288"/>
      <c r="J32" s="324" t="str">
        <f>IF(AND('Mapa final'!$H$28="Baja",'Mapa final'!$L$28="Leve"),CONCATENATE("R",'Mapa final'!$A$28),"")</f>
        <v/>
      </c>
      <c r="K32" s="322"/>
      <c r="L32" s="322" t="str">
        <f>IF(AND('Mapa final'!$H$34="Baja",'Mapa final'!$L$34="Leve"),CONCATENATE("R",'Mapa final'!$A$34),"")</f>
        <v/>
      </c>
      <c r="M32" s="322"/>
      <c r="N32" s="322" t="str">
        <f>IF(AND('Mapa final'!$H$40="Baja",'Mapa final'!$L$40="Leve"),CONCATENATE("R",'Mapa final'!$A$40),"")</f>
        <v/>
      </c>
      <c r="O32" s="323"/>
      <c r="P32" s="314" t="str">
        <f>IF(AND('Mapa final'!$H$28="Baja",'Mapa final'!$L$28="Menor"),CONCATENATE("R",'Mapa final'!$A$28),"")</f>
        <v>R4</v>
      </c>
      <c r="Q32" s="314"/>
      <c r="R32" s="314" t="str">
        <f>IF(AND('Mapa final'!$H$34="Baja",'Mapa final'!$L$34="Menor"),CONCATENATE("R",'Mapa final'!$A$34),"")</f>
        <v>R5</v>
      </c>
      <c r="S32" s="314"/>
      <c r="T32" s="314" t="str">
        <f>IF(AND('Mapa final'!$H$40="Baja",'Mapa final'!$L$40="Menor"),CONCATENATE("R",'Mapa final'!$A$40),"")</f>
        <v/>
      </c>
      <c r="U32" s="315"/>
      <c r="V32" s="313" t="str">
        <f>IF(AND('Mapa final'!$H$28="Baja",'Mapa final'!$L$28="Moderado"),CONCATENATE("R",'Mapa final'!$A$28),"")</f>
        <v/>
      </c>
      <c r="W32" s="314"/>
      <c r="X32" s="314" t="str">
        <f>IF(AND('Mapa final'!$H$34="Baja",'Mapa final'!$L$34="Moderado"),CONCATENATE("R",'Mapa final'!$A$34),"")</f>
        <v/>
      </c>
      <c r="Y32" s="314"/>
      <c r="Z32" s="314" t="str">
        <f>IF(AND('Mapa final'!$H$40="Baja",'Mapa final'!$L$40="Moderado"),CONCATENATE("R",'Mapa final'!$A$40),"")</f>
        <v/>
      </c>
      <c r="AA32" s="315"/>
      <c r="AB32" s="297" t="str">
        <f>IF(AND('Mapa final'!$H$28="Baja",'Mapa final'!$L$28="Mayor"),CONCATENATE("R",'Mapa final'!$A$28),"")</f>
        <v/>
      </c>
      <c r="AC32" s="293"/>
      <c r="AD32" s="293" t="str">
        <f>IF(AND('Mapa final'!$H$34="Baja",'Mapa final'!$L$34="Mayor"),CONCATENATE("R",'Mapa final'!$A$34),"")</f>
        <v/>
      </c>
      <c r="AE32" s="293"/>
      <c r="AF32" s="293" t="str">
        <f>IF(AND('Mapa final'!$H$40="Baja",'Mapa final'!$L$40="Mayor"),CONCATENATE("R",'Mapa final'!$A$40),"")</f>
        <v/>
      </c>
      <c r="AG32" s="294"/>
      <c r="AH32" s="304" t="str">
        <f>IF(AND('Mapa final'!$H$28="Baja",'Mapa final'!$L$28="Catastrófico"),CONCATENATE("R",'Mapa final'!$A$28),"")</f>
        <v/>
      </c>
      <c r="AI32" s="305"/>
      <c r="AJ32" s="305" t="str">
        <f>IF(AND('Mapa final'!$H$34="Baja",'Mapa final'!$L$34="Catastrófico"),CONCATENATE("R",'Mapa final'!$A$34),"")</f>
        <v/>
      </c>
      <c r="AK32" s="305"/>
      <c r="AL32" s="305" t="str">
        <f>IF(AND('Mapa final'!$H$40="Baja",'Mapa final'!$L$40="Catastrófico"),CONCATENATE("R",'Mapa final'!$A$40),"")</f>
        <v/>
      </c>
      <c r="AM32" s="306"/>
      <c r="AN32" s="97"/>
      <c r="AO32" s="278"/>
      <c r="AP32" s="279"/>
      <c r="AQ32" s="279"/>
      <c r="AR32" s="279"/>
      <c r="AS32" s="279"/>
      <c r="AT32" s="280"/>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x14ac:dyDescent="0.25">
      <c r="A33" s="97"/>
      <c r="B33" s="246"/>
      <c r="C33" s="246"/>
      <c r="D33" s="247"/>
      <c r="E33" s="287"/>
      <c r="F33" s="288"/>
      <c r="G33" s="288"/>
      <c r="H33" s="288"/>
      <c r="I33" s="288"/>
      <c r="J33" s="324"/>
      <c r="K33" s="322"/>
      <c r="L33" s="322"/>
      <c r="M33" s="322"/>
      <c r="N33" s="322"/>
      <c r="O33" s="323"/>
      <c r="P33" s="314"/>
      <c r="Q33" s="314"/>
      <c r="R33" s="314"/>
      <c r="S33" s="314"/>
      <c r="T33" s="314"/>
      <c r="U33" s="315"/>
      <c r="V33" s="313"/>
      <c r="W33" s="314"/>
      <c r="X33" s="314"/>
      <c r="Y33" s="314"/>
      <c r="Z33" s="314"/>
      <c r="AA33" s="315"/>
      <c r="AB33" s="297"/>
      <c r="AC33" s="293"/>
      <c r="AD33" s="293"/>
      <c r="AE33" s="293"/>
      <c r="AF33" s="293"/>
      <c r="AG33" s="294"/>
      <c r="AH33" s="304"/>
      <c r="AI33" s="305"/>
      <c r="AJ33" s="305"/>
      <c r="AK33" s="305"/>
      <c r="AL33" s="305"/>
      <c r="AM33" s="306"/>
      <c r="AN33" s="97"/>
      <c r="AO33" s="278"/>
      <c r="AP33" s="279"/>
      <c r="AQ33" s="279"/>
      <c r="AR33" s="279"/>
      <c r="AS33" s="279"/>
      <c r="AT33" s="280"/>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x14ac:dyDescent="0.25">
      <c r="A34" s="97"/>
      <c r="B34" s="246"/>
      <c r="C34" s="246"/>
      <c r="D34" s="247"/>
      <c r="E34" s="287"/>
      <c r="F34" s="288"/>
      <c r="G34" s="288"/>
      <c r="H34" s="288"/>
      <c r="I34" s="288"/>
      <c r="J34" s="324" t="str">
        <f>IF(AND('Mapa final'!$H$46="Baja",'Mapa final'!$L$46="Leve"),CONCATENATE("R",'Mapa final'!$A$46),"")</f>
        <v/>
      </c>
      <c r="K34" s="322"/>
      <c r="L34" s="322" t="str">
        <f>IF(AND('Mapa final'!$H$52="Baja",'Mapa final'!$L$52="Leve"),CONCATENATE("R",'Mapa final'!$A$52),"")</f>
        <v/>
      </c>
      <c r="M34" s="322"/>
      <c r="N34" s="322" t="str">
        <f>IF(AND('Mapa final'!$H$58="Baja",'Mapa final'!$L$58="Leve"),CONCATENATE("R",'Mapa final'!$A$58),"")</f>
        <v/>
      </c>
      <c r="O34" s="323"/>
      <c r="P34" s="314" t="str">
        <f>IF(AND('Mapa final'!$H$46="Baja",'Mapa final'!$L$46="Menor"),CONCATENATE("R",'Mapa final'!$A$46),"")</f>
        <v/>
      </c>
      <c r="Q34" s="314"/>
      <c r="R34" s="314" t="str">
        <f>IF(AND('Mapa final'!$H$52="Baja",'Mapa final'!$L$52="Menor"),CONCATENATE("R",'Mapa final'!$A$52),"")</f>
        <v/>
      </c>
      <c r="S34" s="314"/>
      <c r="T34" s="314" t="str">
        <f>IF(AND('Mapa final'!$H$58="Baja",'Mapa final'!$L$58="Menor"),CONCATENATE("R",'Mapa final'!$A$58),"")</f>
        <v/>
      </c>
      <c r="U34" s="315"/>
      <c r="V34" s="313" t="str">
        <f>IF(AND('Mapa final'!$H$46="Baja",'Mapa final'!$L$46="Moderado"),CONCATENATE("R",'Mapa final'!$A$46),"")</f>
        <v/>
      </c>
      <c r="W34" s="314"/>
      <c r="X34" s="314" t="str">
        <f>IF(AND('Mapa final'!$H$52="Baja",'Mapa final'!$L$52="Moderado"),CONCATENATE("R",'Mapa final'!$A$52),"")</f>
        <v/>
      </c>
      <c r="Y34" s="314"/>
      <c r="Z34" s="314" t="str">
        <f>IF(AND('Mapa final'!$H$58="Baja",'Mapa final'!$L$58="Moderado"),CONCATENATE("R",'Mapa final'!$A$58),"")</f>
        <v/>
      </c>
      <c r="AA34" s="315"/>
      <c r="AB34" s="297" t="str">
        <f>IF(AND('Mapa final'!$H$46="Baja",'Mapa final'!$L$46="Mayor"),CONCATENATE("R",'Mapa final'!$A$46),"")</f>
        <v/>
      </c>
      <c r="AC34" s="293"/>
      <c r="AD34" s="293" t="str">
        <f>IF(AND('Mapa final'!$H$52="Baja",'Mapa final'!$L$52="Mayor"),CONCATENATE("R",'Mapa final'!$A$52),"")</f>
        <v/>
      </c>
      <c r="AE34" s="293"/>
      <c r="AF34" s="293" t="str">
        <f>IF(AND('Mapa final'!$H$58="Baja",'Mapa final'!$L$58="Mayor"),CONCATENATE("R",'Mapa final'!$A$58),"")</f>
        <v/>
      </c>
      <c r="AG34" s="294"/>
      <c r="AH34" s="304" t="str">
        <f>IF(AND('Mapa final'!$H$46="Baja",'Mapa final'!$L$46="Catastrófico"),CONCATENATE("R",'Mapa final'!$A$46),"")</f>
        <v/>
      </c>
      <c r="AI34" s="305"/>
      <c r="AJ34" s="305" t="str">
        <f>IF(AND('Mapa final'!$H$52="Baja",'Mapa final'!$L$52="Catastrófico"),CONCATENATE("R",'Mapa final'!$A$52),"")</f>
        <v/>
      </c>
      <c r="AK34" s="305"/>
      <c r="AL34" s="305" t="str">
        <f>IF(AND('Mapa final'!$H$58="Baja",'Mapa final'!$L$58="Catastrófico"),CONCATENATE("R",'Mapa final'!$A$58),"")</f>
        <v/>
      </c>
      <c r="AM34" s="306"/>
      <c r="AN34" s="97"/>
      <c r="AO34" s="278"/>
      <c r="AP34" s="279"/>
      <c r="AQ34" s="279"/>
      <c r="AR34" s="279"/>
      <c r="AS34" s="279"/>
      <c r="AT34" s="280"/>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x14ac:dyDescent="0.25">
      <c r="A35" s="97"/>
      <c r="B35" s="246"/>
      <c r="C35" s="246"/>
      <c r="D35" s="247"/>
      <c r="E35" s="287"/>
      <c r="F35" s="288"/>
      <c r="G35" s="288"/>
      <c r="H35" s="288"/>
      <c r="I35" s="288"/>
      <c r="J35" s="324"/>
      <c r="K35" s="322"/>
      <c r="L35" s="322"/>
      <c r="M35" s="322"/>
      <c r="N35" s="322"/>
      <c r="O35" s="323"/>
      <c r="P35" s="314"/>
      <c r="Q35" s="314"/>
      <c r="R35" s="314"/>
      <c r="S35" s="314"/>
      <c r="T35" s="314"/>
      <c r="U35" s="315"/>
      <c r="V35" s="313"/>
      <c r="W35" s="314"/>
      <c r="X35" s="314"/>
      <c r="Y35" s="314"/>
      <c r="Z35" s="314"/>
      <c r="AA35" s="315"/>
      <c r="AB35" s="297"/>
      <c r="AC35" s="293"/>
      <c r="AD35" s="293"/>
      <c r="AE35" s="293"/>
      <c r="AF35" s="293"/>
      <c r="AG35" s="294"/>
      <c r="AH35" s="304"/>
      <c r="AI35" s="305"/>
      <c r="AJ35" s="305"/>
      <c r="AK35" s="305"/>
      <c r="AL35" s="305"/>
      <c r="AM35" s="306"/>
      <c r="AN35" s="97"/>
      <c r="AO35" s="278"/>
      <c r="AP35" s="279"/>
      <c r="AQ35" s="279"/>
      <c r="AR35" s="279"/>
      <c r="AS35" s="279"/>
      <c r="AT35" s="280"/>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x14ac:dyDescent="0.25">
      <c r="A36" s="97"/>
      <c r="B36" s="246"/>
      <c r="C36" s="246"/>
      <c r="D36" s="247"/>
      <c r="E36" s="287"/>
      <c r="F36" s="288"/>
      <c r="G36" s="288"/>
      <c r="H36" s="288"/>
      <c r="I36" s="288"/>
      <c r="J36" s="324" t="str">
        <f>IF(AND('Mapa final'!$H$64="Baja",'Mapa final'!$L$64="Leve"),CONCATENATE("R",'Mapa final'!$A$64),"")</f>
        <v/>
      </c>
      <c r="K36" s="322"/>
      <c r="L36" s="322" t="str">
        <f>IF(AND('Mapa final'!$H$70="Baja",'Mapa final'!$L$70="Leve"),CONCATENATE("R",'Mapa final'!$A$70),"")</f>
        <v/>
      </c>
      <c r="M36" s="322"/>
      <c r="N36" s="322" t="str">
        <f>IF(AND('Mapa final'!$H$76="Baja",'Mapa final'!$L$76="Leve"),CONCATENATE("R",'Mapa final'!$A$76),"")</f>
        <v/>
      </c>
      <c r="O36" s="323"/>
      <c r="P36" s="314" t="str">
        <f>IF(AND('Mapa final'!$H$64="Baja",'Mapa final'!$L$64="Menor"),CONCATENATE("R",'Mapa final'!$A$64),"")</f>
        <v/>
      </c>
      <c r="Q36" s="314"/>
      <c r="R36" s="314" t="str">
        <f>IF(AND('Mapa final'!$H$70="Baja",'Mapa final'!$L$70="Menor"),CONCATENATE("R",'Mapa final'!$A$70),"")</f>
        <v/>
      </c>
      <c r="S36" s="314"/>
      <c r="T36" s="314" t="str">
        <f>IF(AND('Mapa final'!$H$76="Baja",'Mapa final'!$L$76="Menor"),CONCATENATE("R",'Mapa final'!$A$76),"")</f>
        <v/>
      </c>
      <c r="U36" s="315"/>
      <c r="V36" s="313" t="str">
        <f>IF(AND('Mapa final'!$H$64="Baja",'Mapa final'!$L$64="Moderado"),CONCATENATE("R",'Mapa final'!$A$64),"")</f>
        <v/>
      </c>
      <c r="W36" s="314"/>
      <c r="X36" s="314" t="str">
        <f>IF(AND('Mapa final'!$H$70="Baja",'Mapa final'!$L$70="Moderado"),CONCATENATE("R",'Mapa final'!$A$70),"")</f>
        <v/>
      </c>
      <c r="Y36" s="314"/>
      <c r="Z36" s="314" t="str">
        <f>IF(AND('Mapa final'!$H$76="Baja",'Mapa final'!$L$76="Moderado"),CONCATENATE("R",'Mapa final'!$A$76),"")</f>
        <v/>
      </c>
      <c r="AA36" s="315"/>
      <c r="AB36" s="297" t="str">
        <f>IF(AND('Mapa final'!$H$64="Baja",'Mapa final'!$L$64="Mayor"),CONCATENATE("R",'Mapa final'!$A$64),"")</f>
        <v/>
      </c>
      <c r="AC36" s="293"/>
      <c r="AD36" s="293" t="str">
        <f>IF(AND('Mapa final'!$H$70="Baja",'Mapa final'!$L$70="Mayor"),CONCATENATE("R",'Mapa final'!$A$70),"")</f>
        <v/>
      </c>
      <c r="AE36" s="293"/>
      <c r="AF36" s="293" t="str">
        <f>IF(AND('Mapa final'!$H$76="Baja",'Mapa final'!$L$76="Mayor"),CONCATENATE("R",'Mapa final'!$A$76),"")</f>
        <v/>
      </c>
      <c r="AG36" s="294"/>
      <c r="AH36" s="304" t="str">
        <f>IF(AND('Mapa final'!$H$64="Baja",'Mapa final'!$L$64="Catastrófico"),CONCATENATE("R",'Mapa final'!$A$64),"")</f>
        <v/>
      </c>
      <c r="AI36" s="305"/>
      <c r="AJ36" s="305" t="str">
        <f>IF(AND('Mapa final'!$H$70="Baja",'Mapa final'!$L$70="Catastrófico"),CONCATENATE("R",'Mapa final'!$A$70),"")</f>
        <v/>
      </c>
      <c r="AK36" s="305"/>
      <c r="AL36" s="305" t="str">
        <f>IF(AND('Mapa final'!$H$76="Baja",'Mapa final'!$L$76="Catastrófico"),CONCATENATE("R",'Mapa final'!$A$76),"")</f>
        <v/>
      </c>
      <c r="AM36" s="306"/>
      <c r="AN36" s="97"/>
      <c r="AO36" s="278"/>
      <c r="AP36" s="279"/>
      <c r="AQ36" s="279"/>
      <c r="AR36" s="279"/>
      <c r="AS36" s="279"/>
      <c r="AT36" s="280"/>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x14ac:dyDescent="0.3">
      <c r="A37" s="97"/>
      <c r="B37" s="246"/>
      <c r="C37" s="246"/>
      <c r="D37" s="247"/>
      <c r="E37" s="290"/>
      <c r="F37" s="291"/>
      <c r="G37" s="291"/>
      <c r="H37" s="291"/>
      <c r="I37" s="291"/>
      <c r="J37" s="325"/>
      <c r="K37" s="326"/>
      <c r="L37" s="326"/>
      <c r="M37" s="326"/>
      <c r="N37" s="326"/>
      <c r="O37" s="327"/>
      <c r="P37" s="317"/>
      <c r="Q37" s="317"/>
      <c r="R37" s="317"/>
      <c r="S37" s="317"/>
      <c r="T37" s="317"/>
      <c r="U37" s="318"/>
      <c r="V37" s="316"/>
      <c r="W37" s="317"/>
      <c r="X37" s="317"/>
      <c r="Y37" s="317"/>
      <c r="Z37" s="317"/>
      <c r="AA37" s="318"/>
      <c r="AB37" s="301"/>
      <c r="AC37" s="302"/>
      <c r="AD37" s="302"/>
      <c r="AE37" s="302"/>
      <c r="AF37" s="302"/>
      <c r="AG37" s="303"/>
      <c r="AH37" s="307"/>
      <c r="AI37" s="308"/>
      <c r="AJ37" s="308"/>
      <c r="AK37" s="308"/>
      <c r="AL37" s="308"/>
      <c r="AM37" s="309"/>
      <c r="AN37" s="97"/>
      <c r="AO37" s="281"/>
      <c r="AP37" s="282"/>
      <c r="AQ37" s="282"/>
      <c r="AR37" s="282"/>
      <c r="AS37" s="282"/>
      <c r="AT37" s="283"/>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x14ac:dyDescent="0.25">
      <c r="A38" s="97"/>
      <c r="B38" s="246"/>
      <c r="C38" s="246"/>
      <c r="D38" s="247"/>
      <c r="E38" s="284" t="s">
        <v>113</v>
      </c>
      <c r="F38" s="285"/>
      <c r="G38" s="285"/>
      <c r="H38" s="285"/>
      <c r="I38" s="286"/>
      <c r="J38" s="328" t="str">
        <f>IF(AND('Mapa final'!$H$10="Muy Baja",'Mapa final'!$L$10="Leve"),CONCATENATE("R",'Mapa final'!$A$10),"")</f>
        <v/>
      </c>
      <c r="K38" s="329"/>
      <c r="L38" s="329" t="str">
        <f>IF(AND('Mapa final'!$H$16="Muy Baja",'Mapa final'!$L$16="Leve"),CONCATENATE("R",'Mapa final'!$A$16),"")</f>
        <v/>
      </c>
      <c r="M38" s="329"/>
      <c r="N38" s="329" t="str">
        <f>IF(AND('Mapa final'!$H$22="Muy Baja",'Mapa final'!$L$22="Leve"),CONCATENATE("R",'Mapa final'!$A$22),"")</f>
        <v/>
      </c>
      <c r="O38" s="330"/>
      <c r="P38" s="328" t="str">
        <f>IF(AND('Mapa final'!$H$10="Muy Baja",'Mapa final'!$L$10="Menor"),CONCATENATE("R",'Mapa final'!$A$10),"")</f>
        <v/>
      </c>
      <c r="Q38" s="329"/>
      <c r="R38" s="329" t="str">
        <f>IF(AND('Mapa final'!$H$16="Muy Baja",'Mapa final'!$L$16="Menor"),CONCATENATE("R",'Mapa final'!$A$16),"")</f>
        <v/>
      </c>
      <c r="S38" s="329"/>
      <c r="T38" s="329" t="str">
        <f>IF(AND('Mapa final'!$H$22="Muy Baja",'Mapa final'!$L$22="Menor"),CONCATENATE("R",'Mapa final'!$A$22),"")</f>
        <v/>
      </c>
      <c r="U38" s="330"/>
      <c r="V38" s="319" t="str">
        <f>IF(AND('Mapa final'!$H$10="Muy Baja",'Mapa final'!$L$10="Moderado"),CONCATENATE("R",'Mapa final'!$A$10),"")</f>
        <v/>
      </c>
      <c r="W38" s="320"/>
      <c r="X38" s="320" t="str">
        <f>IF(AND('Mapa final'!$H$16="Muy Baja",'Mapa final'!$L$16="Moderado"),CONCATENATE("R",'Mapa final'!$A$16),"")</f>
        <v/>
      </c>
      <c r="Y38" s="320"/>
      <c r="Z38" s="320" t="str">
        <f>IF(AND('Mapa final'!$H$22="Muy Baja",'Mapa final'!$L$22="Moderado"),CONCATENATE("R",'Mapa final'!$A$22),"")</f>
        <v/>
      </c>
      <c r="AA38" s="321"/>
      <c r="AB38" s="295" t="str">
        <f>IF(AND('Mapa final'!$H$10="Muy Baja",'Mapa final'!$L$10="Mayor"),CONCATENATE("R",'Mapa final'!$A$10),"")</f>
        <v/>
      </c>
      <c r="AC38" s="296"/>
      <c r="AD38" s="296" t="str">
        <f>IF(AND('Mapa final'!$H$16="Muy Baja",'Mapa final'!$L$16="Mayor"),CONCATENATE("R",'Mapa final'!$A$16),"")</f>
        <v/>
      </c>
      <c r="AE38" s="296"/>
      <c r="AF38" s="296" t="str">
        <f>IF(AND('Mapa final'!$H$22="Muy Baja",'Mapa final'!$L$22="Mayor"),CONCATENATE("R",'Mapa final'!$A$22),"")</f>
        <v/>
      </c>
      <c r="AG38" s="298"/>
      <c r="AH38" s="310" t="str">
        <f>IF(AND('Mapa final'!$H$10="Muy Baja",'Mapa final'!$L$10="Catastrófico"),CONCATENATE("R",'Mapa final'!$A$10),"")</f>
        <v/>
      </c>
      <c r="AI38" s="311"/>
      <c r="AJ38" s="311" t="str">
        <f>IF(AND('Mapa final'!$H$16="Muy Baja",'Mapa final'!$L$16="Catastrófico"),CONCATENATE("R",'Mapa final'!$A$16),"")</f>
        <v/>
      </c>
      <c r="AK38" s="311"/>
      <c r="AL38" s="311" t="str">
        <f>IF(AND('Mapa final'!$H$22="Muy Baja",'Mapa final'!$L$22="Catastrófico"),CONCATENATE("R",'Mapa final'!$A$22),"")</f>
        <v/>
      </c>
      <c r="AM38" s="312"/>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x14ac:dyDescent="0.25">
      <c r="A39" s="97"/>
      <c r="B39" s="246"/>
      <c r="C39" s="246"/>
      <c r="D39" s="247"/>
      <c r="E39" s="287"/>
      <c r="F39" s="288"/>
      <c r="G39" s="288"/>
      <c r="H39" s="288"/>
      <c r="I39" s="289"/>
      <c r="J39" s="324"/>
      <c r="K39" s="322"/>
      <c r="L39" s="322"/>
      <c r="M39" s="322"/>
      <c r="N39" s="322"/>
      <c r="O39" s="323"/>
      <c r="P39" s="324"/>
      <c r="Q39" s="322"/>
      <c r="R39" s="322"/>
      <c r="S39" s="322"/>
      <c r="T39" s="322"/>
      <c r="U39" s="323"/>
      <c r="V39" s="313"/>
      <c r="W39" s="314"/>
      <c r="X39" s="314"/>
      <c r="Y39" s="314"/>
      <c r="Z39" s="314"/>
      <c r="AA39" s="315"/>
      <c r="AB39" s="297"/>
      <c r="AC39" s="293"/>
      <c r="AD39" s="293"/>
      <c r="AE39" s="293"/>
      <c r="AF39" s="293"/>
      <c r="AG39" s="294"/>
      <c r="AH39" s="304"/>
      <c r="AI39" s="305"/>
      <c r="AJ39" s="305"/>
      <c r="AK39" s="305"/>
      <c r="AL39" s="305"/>
      <c r="AM39" s="306"/>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x14ac:dyDescent="0.25">
      <c r="A40" s="97"/>
      <c r="B40" s="246"/>
      <c r="C40" s="246"/>
      <c r="D40" s="247"/>
      <c r="E40" s="287"/>
      <c r="F40" s="288"/>
      <c r="G40" s="288"/>
      <c r="H40" s="288"/>
      <c r="I40" s="289"/>
      <c r="J40" s="324" t="str">
        <f>IF(AND('Mapa final'!$H$28="Muy Baja",'Mapa final'!$L$28="Leve"),CONCATENATE("R",'Mapa final'!$A$28),"")</f>
        <v/>
      </c>
      <c r="K40" s="322"/>
      <c r="L40" s="322" t="str">
        <f>IF(AND('Mapa final'!$H$34="Muy Baja",'Mapa final'!$L$34="Leve"),CONCATENATE("R",'Mapa final'!$A$34),"")</f>
        <v/>
      </c>
      <c r="M40" s="322"/>
      <c r="N40" s="322" t="str">
        <f>IF(AND('Mapa final'!$H$40="Muy Baja",'Mapa final'!$L$40="Leve"),CONCATENATE("R",'Mapa final'!$A$40),"")</f>
        <v/>
      </c>
      <c r="O40" s="323"/>
      <c r="P40" s="324" t="str">
        <f>IF(AND('Mapa final'!$H$28="Muy Baja",'Mapa final'!$L$28="Menor"),CONCATENATE("R",'Mapa final'!$A$28),"")</f>
        <v/>
      </c>
      <c r="Q40" s="322"/>
      <c r="R40" s="322" t="str">
        <f>IF(AND('Mapa final'!$H$34="Muy Baja",'Mapa final'!$L$34="Menor"),CONCATENATE("R",'Mapa final'!$A$34),"")</f>
        <v/>
      </c>
      <c r="S40" s="322"/>
      <c r="T40" s="322" t="str">
        <f>IF(AND('Mapa final'!$H$40="Muy Baja",'Mapa final'!$L$40="Menor"),CONCATENATE("R",'Mapa final'!$A$40),"")</f>
        <v/>
      </c>
      <c r="U40" s="323"/>
      <c r="V40" s="313" t="str">
        <f>IF(AND('Mapa final'!$H$28="Muy Baja",'Mapa final'!$L$28="Moderado"),CONCATENATE("R",'Mapa final'!$A$28),"")</f>
        <v/>
      </c>
      <c r="W40" s="314"/>
      <c r="X40" s="314" t="str">
        <f>IF(AND('Mapa final'!$H$34="Muy Baja",'Mapa final'!$L$34="Moderado"),CONCATENATE("R",'Mapa final'!$A$34),"")</f>
        <v/>
      </c>
      <c r="Y40" s="314"/>
      <c r="Z40" s="314" t="str">
        <f>IF(AND('Mapa final'!$H$40="Muy Baja",'Mapa final'!$L$40="Moderado"),CONCATENATE("R",'Mapa final'!$A$40),"")</f>
        <v/>
      </c>
      <c r="AA40" s="315"/>
      <c r="AB40" s="297" t="str">
        <f>IF(AND('Mapa final'!$H$28="Muy Baja",'Mapa final'!$L$28="Mayor"),CONCATENATE("R",'Mapa final'!$A$28),"")</f>
        <v/>
      </c>
      <c r="AC40" s="293"/>
      <c r="AD40" s="293" t="str">
        <f>IF(AND('Mapa final'!$H$34="Muy Baja",'Mapa final'!$L$34="Mayor"),CONCATENATE("R",'Mapa final'!$A$34),"")</f>
        <v/>
      </c>
      <c r="AE40" s="293"/>
      <c r="AF40" s="293" t="str">
        <f>IF(AND('Mapa final'!$H$40="Muy Baja",'Mapa final'!$L$40="Mayor"),CONCATENATE("R",'Mapa final'!$A$40),"")</f>
        <v/>
      </c>
      <c r="AG40" s="294"/>
      <c r="AH40" s="304" t="str">
        <f>IF(AND('Mapa final'!$H$28="Muy Baja",'Mapa final'!$L$28="Catastrófico"),CONCATENATE("R",'Mapa final'!$A$28),"")</f>
        <v/>
      </c>
      <c r="AI40" s="305"/>
      <c r="AJ40" s="305" t="str">
        <f>IF(AND('Mapa final'!$H$34="Muy Baja",'Mapa final'!$L$34="Catastrófico"),CONCATENATE("R",'Mapa final'!$A$34),"")</f>
        <v/>
      </c>
      <c r="AK40" s="305"/>
      <c r="AL40" s="305" t="str">
        <f>IF(AND('Mapa final'!$H$40="Muy Baja",'Mapa final'!$L$40="Catastrófico"),CONCATENATE("R",'Mapa final'!$A$40),"")</f>
        <v/>
      </c>
      <c r="AM40" s="306"/>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x14ac:dyDescent="0.25">
      <c r="A41" s="97"/>
      <c r="B41" s="246"/>
      <c r="C41" s="246"/>
      <c r="D41" s="247"/>
      <c r="E41" s="287"/>
      <c r="F41" s="288"/>
      <c r="G41" s="288"/>
      <c r="H41" s="288"/>
      <c r="I41" s="289"/>
      <c r="J41" s="324"/>
      <c r="K41" s="322"/>
      <c r="L41" s="322"/>
      <c r="M41" s="322"/>
      <c r="N41" s="322"/>
      <c r="O41" s="323"/>
      <c r="P41" s="324"/>
      <c r="Q41" s="322"/>
      <c r="R41" s="322"/>
      <c r="S41" s="322"/>
      <c r="T41" s="322"/>
      <c r="U41" s="323"/>
      <c r="V41" s="313"/>
      <c r="W41" s="314"/>
      <c r="X41" s="314"/>
      <c r="Y41" s="314"/>
      <c r="Z41" s="314"/>
      <c r="AA41" s="315"/>
      <c r="AB41" s="297"/>
      <c r="AC41" s="293"/>
      <c r="AD41" s="293"/>
      <c r="AE41" s="293"/>
      <c r="AF41" s="293"/>
      <c r="AG41" s="294"/>
      <c r="AH41" s="304"/>
      <c r="AI41" s="305"/>
      <c r="AJ41" s="305"/>
      <c r="AK41" s="305"/>
      <c r="AL41" s="305"/>
      <c r="AM41" s="306"/>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x14ac:dyDescent="0.25">
      <c r="A42" s="97"/>
      <c r="B42" s="246"/>
      <c r="C42" s="246"/>
      <c r="D42" s="247"/>
      <c r="E42" s="287"/>
      <c r="F42" s="288"/>
      <c r="G42" s="288"/>
      <c r="H42" s="288"/>
      <c r="I42" s="289"/>
      <c r="J42" s="324" t="str">
        <f>IF(AND('Mapa final'!$H$46="Muy Baja",'Mapa final'!$L$46="Leve"),CONCATENATE("R",'Mapa final'!$A$46),"")</f>
        <v/>
      </c>
      <c r="K42" s="322"/>
      <c r="L42" s="322" t="str">
        <f>IF(AND('Mapa final'!$H$52="Muy Baja",'Mapa final'!$L$52="Leve"),CONCATENATE("R",'Mapa final'!$A$52),"")</f>
        <v/>
      </c>
      <c r="M42" s="322"/>
      <c r="N42" s="322" t="str">
        <f>IF(AND('Mapa final'!$H$58="Muy Baja",'Mapa final'!$L$58="Leve"),CONCATENATE("R",'Mapa final'!$A$58),"")</f>
        <v/>
      </c>
      <c r="O42" s="323"/>
      <c r="P42" s="324" t="str">
        <f>IF(AND('Mapa final'!$H$46="Muy Baja",'Mapa final'!$L$46="Menor"),CONCATENATE("R",'Mapa final'!$A$46),"")</f>
        <v/>
      </c>
      <c r="Q42" s="322"/>
      <c r="R42" s="322" t="str">
        <f>IF(AND('Mapa final'!$H$52="Muy Baja",'Mapa final'!$L$52="Menor"),CONCATENATE("R",'Mapa final'!$A$52),"")</f>
        <v/>
      </c>
      <c r="S42" s="322"/>
      <c r="T42" s="322" t="str">
        <f>IF(AND('Mapa final'!$H$58="Muy Baja",'Mapa final'!$L$58="Menor"),CONCATENATE("R",'Mapa final'!$A$58),"")</f>
        <v/>
      </c>
      <c r="U42" s="323"/>
      <c r="V42" s="313" t="str">
        <f>IF(AND('Mapa final'!$H$46="Muy Baja",'Mapa final'!$L$46="Moderado"),CONCATENATE("R",'Mapa final'!$A$46),"")</f>
        <v/>
      </c>
      <c r="W42" s="314"/>
      <c r="X42" s="314" t="str">
        <f>IF(AND('Mapa final'!$H$52="Muy Baja",'Mapa final'!$L$52="Moderado"),CONCATENATE("R",'Mapa final'!$A$52),"")</f>
        <v/>
      </c>
      <c r="Y42" s="314"/>
      <c r="Z42" s="314" t="str">
        <f>IF(AND('Mapa final'!$H$58="Muy Baja",'Mapa final'!$L$58="Moderado"),CONCATENATE("R",'Mapa final'!$A$58),"")</f>
        <v/>
      </c>
      <c r="AA42" s="315"/>
      <c r="AB42" s="297" t="str">
        <f>IF(AND('Mapa final'!$H$46="Muy Baja",'Mapa final'!$L$46="Mayor"),CONCATENATE("R",'Mapa final'!$A$46),"")</f>
        <v/>
      </c>
      <c r="AC42" s="293"/>
      <c r="AD42" s="293" t="str">
        <f>IF(AND('Mapa final'!$H$52="Muy Baja",'Mapa final'!$L$52="Mayor"),CONCATENATE("R",'Mapa final'!$A$52),"")</f>
        <v/>
      </c>
      <c r="AE42" s="293"/>
      <c r="AF42" s="293" t="str">
        <f>IF(AND('Mapa final'!$H$58="Muy Baja",'Mapa final'!$L$58="Mayor"),CONCATENATE("R",'Mapa final'!$A$58),"")</f>
        <v/>
      </c>
      <c r="AG42" s="294"/>
      <c r="AH42" s="304" t="str">
        <f>IF(AND('Mapa final'!$H$46="Muy Baja",'Mapa final'!$L$46="Catastrófico"),CONCATENATE("R",'Mapa final'!$A$46),"")</f>
        <v/>
      </c>
      <c r="AI42" s="305"/>
      <c r="AJ42" s="305" t="str">
        <f>IF(AND('Mapa final'!$H$52="Muy Baja",'Mapa final'!$L$52="Catastrófico"),CONCATENATE("R",'Mapa final'!$A$52),"")</f>
        <v/>
      </c>
      <c r="AK42" s="305"/>
      <c r="AL42" s="305" t="str">
        <f>IF(AND('Mapa final'!$H$58="Muy Baja",'Mapa final'!$L$58="Catastrófico"),CONCATENATE("R",'Mapa final'!$A$58),"")</f>
        <v/>
      </c>
      <c r="AM42" s="306"/>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x14ac:dyDescent="0.25">
      <c r="A43" s="97"/>
      <c r="B43" s="246"/>
      <c r="C43" s="246"/>
      <c r="D43" s="247"/>
      <c r="E43" s="287"/>
      <c r="F43" s="288"/>
      <c r="G43" s="288"/>
      <c r="H43" s="288"/>
      <c r="I43" s="289"/>
      <c r="J43" s="324"/>
      <c r="K43" s="322"/>
      <c r="L43" s="322"/>
      <c r="M43" s="322"/>
      <c r="N43" s="322"/>
      <c r="O43" s="323"/>
      <c r="P43" s="324"/>
      <c r="Q43" s="322"/>
      <c r="R43" s="322"/>
      <c r="S43" s="322"/>
      <c r="T43" s="322"/>
      <c r="U43" s="323"/>
      <c r="V43" s="313"/>
      <c r="W43" s="314"/>
      <c r="X43" s="314"/>
      <c r="Y43" s="314"/>
      <c r="Z43" s="314"/>
      <c r="AA43" s="315"/>
      <c r="AB43" s="297"/>
      <c r="AC43" s="293"/>
      <c r="AD43" s="293"/>
      <c r="AE43" s="293"/>
      <c r="AF43" s="293"/>
      <c r="AG43" s="294"/>
      <c r="AH43" s="304"/>
      <c r="AI43" s="305"/>
      <c r="AJ43" s="305"/>
      <c r="AK43" s="305"/>
      <c r="AL43" s="305"/>
      <c r="AM43" s="306"/>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x14ac:dyDescent="0.25">
      <c r="A44" s="97"/>
      <c r="B44" s="246"/>
      <c r="C44" s="246"/>
      <c r="D44" s="247"/>
      <c r="E44" s="287"/>
      <c r="F44" s="288"/>
      <c r="G44" s="288"/>
      <c r="H44" s="288"/>
      <c r="I44" s="289"/>
      <c r="J44" s="324" t="str">
        <f>IF(AND('Mapa final'!$H$64="Muy Baja",'Mapa final'!$L$64="Leve"),CONCATENATE("R",'Mapa final'!$A$64),"")</f>
        <v/>
      </c>
      <c r="K44" s="322"/>
      <c r="L44" s="322" t="str">
        <f>IF(AND('Mapa final'!$H$70="Muy Baja",'Mapa final'!$L$70="Leve"),CONCATENATE("R",'Mapa final'!$A$70),"")</f>
        <v/>
      </c>
      <c r="M44" s="322"/>
      <c r="N44" s="322" t="str">
        <f>IF(AND('Mapa final'!$H$76="Muy Baja",'Mapa final'!$L$76="Leve"),CONCATENATE("R",'Mapa final'!$A$76),"")</f>
        <v/>
      </c>
      <c r="O44" s="323"/>
      <c r="P44" s="324" t="str">
        <f>IF(AND('Mapa final'!$H$64="Muy Baja",'Mapa final'!$L$64="Menor"),CONCATENATE("R",'Mapa final'!$A$64),"")</f>
        <v/>
      </c>
      <c r="Q44" s="322"/>
      <c r="R44" s="322" t="str">
        <f>IF(AND('Mapa final'!$H$70="Muy Baja",'Mapa final'!$L$70="Menor"),CONCATENATE("R",'Mapa final'!$A$70),"")</f>
        <v/>
      </c>
      <c r="S44" s="322"/>
      <c r="T44" s="322" t="str">
        <f>IF(AND('Mapa final'!$H$76="Muy Baja",'Mapa final'!$L$76="Menor"),CONCATENATE("R",'Mapa final'!$A$76),"")</f>
        <v/>
      </c>
      <c r="U44" s="323"/>
      <c r="V44" s="313" t="str">
        <f>IF(AND('Mapa final'!$H$64="Muy Baja",'Mapa final'!$L$64="Moderado"),CONCATENATE("R",'Mapa final'!$A$64),"")</f>
        <v/>
      </c>
      <c r="W44" s="314"/>
      <c r="X44" s="314" t="str">
        <f>IF(AND('Mapa final'!$H$70="Muy Baja",'Mapa final'!$L$70="Moderado"),CONCATENATE("R",'Mapa final'!$A$70),"")</f>
        <v/>
      </c>
      <c r="Y44" s="314"/>
      <c r="Z44" s="314" t="str">
        <f>IF(AND('Mapa final'!$H$76="Muy Baja",'Mapa final'!$L$76="Moderado"),CONCATENATE("R",'Mapa final'!$A$76),"")</f>
        <v/>
      </c>
      <c r="AA44" s="315"/>
      <c r="AB44" s="297" t="str">
        <f>IF(AND('Mapa final'!$H$64="Muy Baja",'Mapa final'!$L$64="Mayor"),CONCATENATE("R",'Mapa final'!$A$64),"")</f>
        <v/>
      </c>
      <c r="AC44" s="293"/>
      <c r="AD44" s="293" t="str">
        <f>IF(AND('Mapa final'!$H$70="Muy Baja",'Mapa final'!$L$70="Mayor"),CONCATENATE("R",'Mapa final'!$A$70),"")</f>
        <v/>
      </c>
      <c r="AE44" s="293"/>
      <c r="AF44" s="293" t="str">
        <f>IF(AND('Mapa final'!$H$76="Muy Baja",'Mapa final'!$L$76="Mayor"),CONCATENATE("R",'Mapa final'!$A$76),"")</f>
        <v/>
      </c>
      <c r="AG44" s="294"/>
      <c r="AH44" s="304" t="str">
        <f>IF(AND('Mapa final'!$H$64="Muy Baja",'Mapa final'!$L$64="Catastrófico"),CONCATENATE("R",'Mapa final'!$A$64),"")</f>
        <v/>
      </c>
      <c r="AI44" s="305"/>
      <c r="AJ44" s="305" t="str">
        <f>IF(AND('Mapa final'!$H$70="Muy Baja",'Mapa final'!$L$70="Catastrófico"),CONCATENATE("R",'Mapa final'!$A$70),"")</f>
        <v/>
      </c>
      <c r="AK44" s="305"/>
      <c r="AL44" s="305" t="str">
        <f>IF(AND('Mapa final'!$H$76="Muy Baja",'Mapa final'!$L$76="Catastrófico"),CONCATENATE("R",'Mapa final'!$A$76),"")</f>
        <v/>
      </c>
      <c r="AM44" s="306"/>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x14ac:dyDescent="0.3">
      <c r="A45" s="97"/>
      <c r="B45" s="246"/>
      <c r="C45" s="246"/>
      <c r="D45" s="247"/>
      <c r="E45" s="290"/>
      <c r="F45" s="291"/>
      <c r="G45" s="291"/>
      <c r="H45" s="291"/>
      <c r="I45" s="292"/>
      <c r="J45" s="325"/>
      <c r="K45" s="326"/>
      <c r="L45" s="326"/>
      <c r="M45" s="326"/>
      <c r="N45" s="326"/>
      <c r="O45" s="327"/>
      <c r="P45" s="325"/>
      <c r="Q45" s="326"/>
      <c r="R45" s="326"/>
      <c r="S45" s="326"/>
      <c r="T45" s="326"/>
      <c r="U45" s="327"/>
      <c r="V45" s="316"/>
      <c r="W45" s="317"/>
      <c r="X45" s="317"/>
      <c r="Y45" s="317"/>
      <c r="Z45" s="317"/>
      <c r="AA45" s="318"/>
      <c r="AB45" s="301"/>
      <c r="AC45" s="302"/>
      <c r="AD45" s="302"/>
      <c r="AE45" s="302"/>
      <c r="AF45" s="302"/>
      <c r="AG45" s="303"/>
      <c r="AH45" s="307"/>
      <c r="AI45" s="308"/>
      <c r="AJ45" s="308"/>
      <c r="AK45" s="308"/>
      <c r="AL45" s="308"/>
      <c r="AM45" s="309"/>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x14ac:dyDescent="0.25">
      <c r="A46" s="97"/>
      <c r="B46" s="97"/>
      <c r="C46" s="97"/>
      <c r="D46" s="97"/>
      <c r="E46" s="97"/>
      <c r="F46" s="97"/>
      <c r="G46" s="97"/>
      <c r="H46" s="97"/>
      <c r="I46" s="97"/>
      <c r="J46" s="284" t="s">
        <v>112</v>
      </c>
      <c r="K46" s="285"/>
      <c r="L46" s="285"/>
      <c r="M46" s="285"/>
      <c r="N46" s="285"/>
      <c r="O46" s="286"/>
      <c r="P46" s="284" t="s">
        <v>111</v>
      </c>
      <c r="Q46" s="285"/>
      <c r="R46" s="285"/>
      <c r="S46" s="285"/>
      <c r="T46" s="285"/>
      <c r="U46" s="286"/>
      <c r="V46" s="284" t="s">
        <v>110</v>
      </c>
      <c r="W46" s="285"/>
      <c r="X46" s="285"/>
      <c r="Y46" s="285"/>
      <c r="Z46" s="285"/>
      <c r="AA46" s="286"/>
      <c r="AB46" s="284" t="s">
        <v>109</v>
      </c>
      <c r="AC46" s="300"/>
      <c r="AD46" s="285"/>
      <c r="AE46" s="285"/>
      <c r="AF46" s="285"/>
      <c r="AG46" s="286"/>
      <c r="AH46" s="284" t="s">
        <v>108</v>
      </c>
      <c r="AI46" s="285"/>
      <c r="AJ46" s="285"/>
      <c r="AK46" s="285"/>
      <c r="AL46" s="285"/>
      <c r="AM46" s="286"/>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x14ac:dyDescent="0.25">
      <c r="A47" s="97"/>
      <c r="B47" s="97"/>
      <c r="C47" s="97"/>
      <c r="D47" s="97"/>
      <c r="E47" s="97"/>
      <c r="F47" s="97"/>
      <c r="G47" s="97"/>
      <c r="H47" s="97"/>
      <c r="I47" s="97"/>
      <c r="J47" s="287"/>
      <c r="K47" s="288"/>
      <c r="L47" s="288"/>
      <c r="M47" s="288"/>
      <c r="N47" s="288"/>
      <c r="O47" s="289"/>
      <c r="P47" s="287"/>
      <c r="Q47" s="288"/>
      <c r="R47" s="288"/>
      <c r="S47" s="288"/>
      <c r="T47" s="288"/>
      <c r="U47" s="289"/>
      <c r="V47" s="287"/>
      <c r="W47" s="288"/>
      <c r="X47" s="288"/>
      <c r="Y47" s="288"/>
      <c r="Z47" s="288"/>
      <c r="AA47" s="289"/>
      <c r="AB47" s="287"/>
      <c r="AC47" s="288"/>
      <c r="AD47" s="288"/>
      <c r="AE47" s="288"/>
      <c r="AF47" s="288"/>
      <c r="AG47" s="289"/>
      <c r="AH47" s="287"/>
      <c r="AI47" s="288"/>
      <c r="AJ47" s="288"/>
      <c r="AK47" s="288"/>
      <c r="AL47" s="288"/>
      <c r="AM47" s="289"/>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x14ac:dyDescent="0.25">
      <c r="A48" s="97"/>
      <c r="B48" s="97"/>
      <c r="C48" s="97"/>
      <c r="D48" s="97"/>
      <c r="E48" s="97"/>
      <c r="F48" s="97"/>
      <c r="G48" s="97"/>
      <c r="H48" s="97"/>
      <c r="I48" s="97"/>
      <c r="J48" s="287"/>
      <c r="K48" s="288"/>
      <c r="L48" s="288"/>
      <c r="M48" s="288"/>
      <c r="N48" s="288"/>
      <c r="O48" s="289"/>
      <c r="P48" s="287"/>
      <c r="Q48" s="288"/>
      <c r="R48" s="288"/>
      <c r="S48" s="288"/>
      <c r="T48" s="288"/>
      <c r="U48" s="289"/>
      <c r="V48" s="287"/>
      <c r="W48" s="288"/>
      <c r="X48" s="288"/>
      <c r="Y48" s="288"/>
      <c r="Z48" s="288"/>
      <c r="AA48" s="289"/>
      <c r="AB48" s="287"/>
      <c r="AC48" s="288"/>
      <c r="AD48" s="288"/>
      <c r="AE48" s="288"/>
      <c r="AF48" s="288"/>
      <c r="AG48" s="289"/>
      <c r="AH48" s="287"/>
      <c r="AI48" s="288"/>
      <c r="AJ48" s="288"/>
      <c r="AK48" s="288"/>
      <c r="AL48" s="288"/>
      <c r="AM48" s="289"/>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x14ac:dyDescent="0.25">
      <c r="A49" s="97"/>
      <c r="B49" s="97"/>
      <c r="C49" s="97"/>
      <c r="D49" s="97"/>
      <c r="E49" s="97"/>
      <c r="F49" s="97"/>
      <c r="G49" s="97"/>
      <c r="H49" s="97"/>
      <c r="I49" s="97"/>
      <c r="J49" s="287"/>
      <c r="K49" s="288"/>
      <c r="L49" s="288"/>
      <c r="M49" s="288"/>
      <c r="N49" s="288"/>
      <c r="O49" s="289"/>
      <c r="P49" s="287"/>
      <c r="Q49" s="288"/>
      <c r="R49" s="288"/>
      <c r="S49" s="288"/>
      <c r="T49" s="288"/>
      <c r="U49" s="289"/>
      <c r="V49" s="287"/>
      <c r="W49" s="288"/>
      <c r="X49" s="288"/>
      <c r="Y49" s="288"/>
      <c r="Z49" s="288"/>
      <c r="AA49" s="289"/>
      <c r="AB49" s="287"/>
      <c r="AC49" s="288"/>
      <c r="AD49" s="288"/>
      <c r="AE49" s="288"/>
      <c r="AF49" s="288"/>
      <c r="AG49" s="289"/>
      <c r="AH49" s="287"/>
      <c r="AI49" s="288"/>
      <c r="AJ49" s="288"/>
      <c r="AK49" s="288"/>
      <c r="AL49" s="288"/>
      <c r="AM49" s="289"/>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x14ac:dyDescent="0.25">
      <c r="A50" s="97"/>
      <c r="B50" s="97"/>
      <c r="C50" s="97"/>
      <c r="D50" s="97"/>
      <c r="E50" s="97"/>
      <c r="F50" s="97"/>
      <c r="G50" s="97"/>
      <c r="H50" s="97"/>
      <c r="I50" s="97"/>
      <c r="J50" s="287"/>
      <c r="K50" s="288"/>
      <c r="L50" s="288"/>
      <c r="M50" s="288"/>
      <c r="N50" s="288"/>
      <c r="O50" s="289"/>
      <c r="P50" s="287"/>
      <c r="Q50" s="288"/>
      <c r="R50" s="288"/>
      <c r="S50" s="288"/>
      <c r="T50" s="288"/>
      <c r="U50" s="289"/>
      <c r="V50" s="287"/>
      <c r="W50" s="288"/>
      <c r="X50" s="288"/>
      <c r="Y50" s="288"/>
      <c r="Z50" s="288"/>
      <c r="AA50" s="289"/>
      <c r="AB50" s="287"/>
      <c r="AC50" s="288"/>
      <c r="AD50" s="288"/>
      <c r="AE50" s="288"/>
      <c r="AF50" s="288"/>
      <c r="AG50" s="289"/>
      <c r="AH50" s="287"/>
      <c r="AI50" s="288"/>
      <c r="AJ50" s="288"/>
      <c r="AK50" s="288"/>
      <c r="AL50" s="288"/>
      <c r="AM50" s="289"/>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x14ac:dyDescent="0.3">
      <c r="A51" s="97"/>
      <c r="B51" s="97"/>
      <c r="C51" s="97"/>
      <c r="D51" s="97"/>
      <c r="E51" s="97"/>
      <c r="F51" s="97"/>
      <c r="G51" s="97"/>
      <c r="H51" s="97"/>
      <c r="I51" s="97"/>
      <c r="J51" s="290"/>
      <c r="K51" s="291"/>
      <c r="L51" s="291"/>
      <c r="M51" s="291"/>
      <c r="N51" s="291"/>
      <c r="O51" s="292"/>
      <c r="P51" s="290"/>
      <c r="Q51" s="291"/>
      <c r="R51" s="291"/>
      <c r="S51" s="291"/>
      <c r="T51" s="291"/>
      <c r="U51" s="292"/>
      <c r="V51" s="290"/>
      <c r="W51" s="291"/>
      <c r="X51" s="291"/>
      <c r="Y51" s="291"/>
      <c r="Z51" s="291"/>
      <c r="AA51" s="292"/>
      <c r="AB51" s="290"/>
      <c r="AC51" s="291"/>
      <c r="AD51" s="291"/>
      <c r="AE51" s="291"/>
      <c r="AF51" s="291"/>
      <c r="AG51" s="292"/>
      <c r="AH51" s="290"/>
      <c r="AI51" s="291"/>
      <c r="AJ51" s="291"/>
      <c r="AK51" s="291"/>
      <c r="AL51" s="291"/>
      <c r="AM51" s="292"/>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x14ac:dyDescent="0.2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x14ac:dyDescent="0.2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x14ac:dyDescent="0.25">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x14ac:dyDescent="0.25">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x14ac:dyDescent="0.25">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x14ac:dyDescent="0.25">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x14ac:dyDescent="0.25">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x14ac:dyDescent="0.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x14ac:dyDescent="0.2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x14ac:dyDescent="0.2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x14ac:dyDescent="0.2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x14ac:dyDescent="0.2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x14ac:dyDescent="0.2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x14ac:dyDescent="0.2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x14ac:dyDescent="0.2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x14ac:dyDescent="0.2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x14ac:dyDescent="0.2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x14ac:dyDescent="0.2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x14ac:dyDescent="0.25">
      <c r="B137" s="97"/>
      <c r="C137" s="97"/>
      <c r="D137" s="97"/>
      <c r="E137" s="97"/>
      <c r="F137" s="97"/>
      <c r="G137" s="97"/>
      <c r="H137" s="97"/>
      <c r="I137" s="97"/>
    </row>
    <row r="138" spans="2:63" x14ac:dyDescent="0.25">
      <c r="B138" s="97"/>
      <c r="C138" s="97"/>
      <c r="D138" s="97"/>
      <c r="E138" s="97"/>
      <c r="F138" s="97"/>
      <c r="G138" s="97"/>
      <c r="H138" s="97"/>
      <c r="I138" s="97"/>
    </row>
    <row r="139" spans="2:63" x14ac:dyDescent="0.25">
      <c r="B139" s="97"/>
      <c r="C139" s="97"/>
      <c r="D139" s="97"/>
      <c r="E139" s="97"/>
      <c r="F139" s="97"/>
      <c r="G139" s="97"/>
      <c r="H139" s="97"/>
      <c r="I139" s="97"/>
    </row>
    <row r="140" spans="2:63" x14ac:dyDescent="0.25">
      <c r="B140" s="97"/>
      <c r="C140" s="97"/>
      <c r="D140" s="97"/>
      <c r="E140" s="97"/>
      <c r="F140" s="97"/>
      <c r="G140" s="97"/>
      <c r="H140" s="97"/>
      <c r="I140" s="9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X50" sqref="AX5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x14ac:dyDescent="0.25">
      <c r="A2" s="97"/>
      <c r="B2" s="357" t="s">
        <v>160</v>
      </c>
      <c r="C2" s="358"/>
      <c r="D2" s="358"/>
      <c r="E2" s="358"/>
      <c r="F2" s="358"/>
      <c r="G2" s="358"/>
      <c r="H2" s="358"/>
      <c r="I2" s="358"/>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x14ac:dyDescent="0.25">
      <c r="A3" s="97"/>
      <c r="B3" s="358"/>
      <c r="C3" s="358"/>
      <c r="D3" s="358"/>
      <c r="E3" s="358"/>
      <c r="F3" s="358"/>
      <c r="G3" s="358"/>
      <c r="H3" s="358"/>
      <c r="I3" s="358"/>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x14ac:dyDescent="0.25">
      <c r="A4" s="97"/>
      <c r="B4" s="358"/>
      <c r="C4" s="358"/>
      <c r="D4" s="358"/>
      <c r="E4" s="358"/>
      <c r="F4" s="358"/>
      <c r="G4" s="358"/>
      <c r="H4" s="358"/>
      <c r="I4" s="358"/>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x14ac:dyDescent="0.25">
      <c r="A6" s="97"/>
      <c r="B6" s="246" t="s">
        <v>4</v>
      </c>
      <c r="C6" s="246"/>
      <c r="D6" s="247"/>
      <c r="E6" s="341" t="s">
        <v>116</v>
      </c>
      <c r="F6" s="342"/>
      <c r="G6" s="342"/>
      <c r="H6" s="342"/>
      <c r="I6" s="359"/>
      <c r="J6" s="60" t="str">
        <f>IF(AND('Mapa final'!$Y$10="Muy Alta",'Mapa final'!$AA$10="Leve"),CONCATENATE("R1C",'Mapa final'!$O$10),"")</f>
        <v/>
      </c>
      <c r="K6" s="61" t="str">
        <f>IF(AND('Mapa final'!$Y$11="Muy Alta",'Mapa final'!$AA$11="Leve"),CONCATENATE("R1C",'Mapa final'!$O$11),"")</f>
        <v/>
      </c>
      <c r="L6" s="61" t="str">
        <f>IF(AND('Mapa final'!$Y$12="Muy Alta",'Mapa final'!$AA$12="Leve"),CONCATENATE("R1C",'Mapa final'!$O$12),"")</f>
        <v/>
      </c>
      <c r="M6" s="61" t="str">
        <f>IF(AND('Mapa final'!$Y$13="Muy Alta",'Mapa final'!$AA$13="Leve"),CONCATENATE("R1C",'Mapa final'!$O$13),"")</f>
        <v/>
      </c>
      <c r="N6" s="61" t="str">
        <f>IF(AND('Mapa final'!$Y$14="Muy Alta",'Mapa final'!$AA$14="Leve"),CONCATENATE("R1C",'Mapa final'!$O$14),"")</f>
        <v/>
      </c>
      <c r="O6" s="62" t="str">
        <f>IF(AND('Mapa final'!$Y$15="Muy Alta",'Mapa final'!$AA$15="Leve"),CONCATENATE("R1C",'Mapa final'!$O$15),"")</f>
        <v/>
      </c>
      <c r="P6" s="60" t="str">
        <f>IF(AND('Mapa final'!$Y$10="Muy Alta",'Mapa final'!$AA$10="Menor"),CONCATENATE("R1C",'Mapa final'!$O$10),"")</f>
        <v/>
      </c>
      <c r="Q6" s="61" t="str">
        <f>IF(AND('Mapa final'!$Y$11="Muy Alta",'Mapa final'!$AA$11="Menor"),CONCATENATE("R1C",'Mapa final'!$O$11),"")</f>
        <v/>
      </c>
      <c r="R6" s="61" t="str">
        <f>IF(AND('Mapa final'!$Y$12="Muy Alta",'Mapa final'!$AA$12="Menor"),CONCATENATE("R1C",'Mapa final'!$O$12),"")</f>
        <v/>
      </c>
      <c r="S6" s="61" t="str">
        <f>IF(AND('Mapa final'!$Y$13="Muy Alta",'Mapa final'!$AA$13="Menor"),CONCATENATE("R1C",'Mapa final'!$O$13),"")</f>
        <v/>
      </c>
      <c r="T6" s="61" t="str">
        <f>IF(AND('Mapa final'!$Y$14="Muy Alta",'Mapa final'!$AA$14="Menor"),CONCATENATE("R1C",'Mapa final'!$O$14),"")</f>
        <v/>
      </c>
      <c r="U6" s="62" t="str">
        <f>IF(AND('Mapa final'!$Y$15="Muy Alta",'Mapa final'!$AA$15="Menor"),CONCATENATE("R1C",'Mapa final'!$O$15),"")</f>
        <v/>
      </c>
      <c r="V6" s="60" t="str">
        <f>IF(AND('Mapa final'!$Y$10="Muy Alta",'Mapa final'!$AA$10="Moderado"),CONCATENATE("R1C",'Mapa final'!$O$10),"")</f>
        <v/>
      </c>
      <c r="W6" s="61" t="str">
        <f>IF(AND('Mapa final'!$Y$11="Muy Alta",'Mapa final'!$AA$11="Moderado"),CONCATENATE("R1C",'Mapa final'!$O$11),"")</f>
        <v/>
      </c>
      <c r="X6" s="61" t="str">
        <f>IF(AND('Mapa final'!$Y$12="Muy Alta",'Mapa final'!$AA$12="Moderado"),CONCATENATE("R1C",'Mapa final'!$O$12),"")</f>
        <v/>
      </c>
      <c r="Y6" s="61" t="str">
        <f>IF(AND('Mapa final'!$Y$13="Muy Alta",'Mapa final'!$AA$13="Moderado"),CONCATENATE("R1C",'Mapa final'!$O$13),"")</f>
        <v/>
      </c>
      <c r="Z6" s="61" t="str">
        <f>IF(AND('Mapa final'!$Y$14="Muy Alta",'Mapa final'!$AA$14="Moderado"),CONCATENATE("R1C",'Mapa final'!$O$14),"")</f>
        <v/>
      </c>
      <c r="AA6" s="62" t="str">
        <f>IF(AND('Mapa final'!$Y$15="Muy Alta",'Mapa final'!$AA$15="Moderado"),CONCATENATE("R1C",'Mapa final'!$O$15),"")</f>
        <v/>
      </c>
      <c r="AB6" s="60" t="str">
        <f>IF(AND('Mapa final'!$Y$10="Muy Alta",'Mapa final'!$AA$10="Mayor"),CONCATENATE("R1C",'Mapa final'!$O$10),"")</f>
        <v/>
      </c>
      <c r="AC6" s="61" t="str">
        <f>IF(AND('Mapa final'!$Y$11="Muy Alta",'Mapa final'!$AA$11="Mayor"),CONCATENATE("R1C",'Mapa final'!$O$11),"")</f>
        <v/>
      </c>
      <c r="AD6" s="61" t="str">
        <f>IF(AND('Mapa final'!$Y$12="Muy Alta",'Mapa final'!$AA$12="Mayor"),CONCATENATE("R1C",'Mapa final'!$O$12),"")</f>
        <v/>
      </c>
      <c r="AE6" s="61" t="str">
        <f>IF(AND('Mapa final'!$Y$13="Muy Alta",'Mapa final'!$AA$13="Mayor"),CONCATENATE("R1C",'Mapa final'!$O$13),"")</f>
        <v/>
      </c>
      <c r="AF6" s="61" t="str">
        <f>IF(AND('Mapa final'!$Y$14="Muy Alta",'Mapa final'!$AA$14="Mayor"),CONCATENATE("R1C",'Mapa final'!$O$14),"")</f>
        <v/>
      </c>
      <c r="AG6" s="62" t="str">
        <f>IF(AND('Mapa final'!$Y$15="Muy Alta",'Mapa final'!$AA$15="Mayor"),CONCATENATE("R1C",'Mapa final'!$O$15),"")</f>
        <v/>
      </c>
      <c r="AH6" s="63" t="str">
        <f>IF(AND('Mapa final'!$Y$10="Muy Alta",'Mapa final'!$AA$10="Catastrófico"),CONCATENATE("R1C",'Mapa final'!$O$10),"")</f>
        <v/>
      </c>
      <c r="AI6" s="64" t="str">
        <f>IF(AND('Mapa final'!$Y$11="Muy Alta",'Mapa final'!$AA$11="Catastrófico"),CONCATENATE("R1C",'Mapa final'!$O$11),"")</f>
        <v/>
      </c>
      <c r="AJ6" s="64" t="str">
        <f>IF(AND('Mapa final'!$Y$12="Muy Alta",'Mapa final'!$AA$12="Catastrófico"),CONCATENATE("R1C",'Mapa final'!$O$12),"")</f>
        <v/>
      </c>
      <c r="AK6" s="64" t="str">
        <f>IF(AND('Mapa final'!$Y$13="Muy Alta",'Mapa final'!$AA$13="Catastrófico"),CONCATENATE("R1C",'Mapa final'!$O$13),"")</f>
        <v/>
      </c>
      <c r="AL6" s="64" t="str">
        <f>IF(AND('Mapa final'!$Y$14="Muy Alta",'Mapa final'!$AA$14="Catastrófico"),CONCATENATE("R1C",'Mapa final'!$O$14),"")</f>
        <v/>
      </c>
      <c r="AM6" s="65" t="str">
        <f>IF(AND('Mapa final'!$Y$15="Muy Alta",'Mapa final'!$AA$15="Catastrófico"),CONCATENATE("R1C",'Mapa final'!$O$15),"")</f>
        <v/>
      </c>
      <c r="AN6" s="97"/>
      <c r="AO6" s="348" t="s">
        <v>79</v>
      </c>
      <c r="AP6" s="349"/>
      <c r="AQ6" s="349"/>
      <c r="AR6" s="349"/>
      <c r="AS6" s="349"/>
      <c r="AT6" s="350"/>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x14ac:dyDescent="0.25">
      <c r="A7" s="97"/>
      <c r="B7" s="246"/>
      <c r="C7" s="246"/>
      <c r="D7" s="247"/>
      <c r="E7" s="345"/>
      <c r="F7" s="344"/>
      <c r="G7" s="344"/>
      <c r="H7" s="344"/>
      <c r="I7" s="360"/>
      <c r="J7" s="66" t="str">
        <f>IF(AND('Mapa final'!$Y$16="Muy Alta",'Mapa final'!$AA$16="Leve"),CONCATENATE("R2C",'Mapa final'!$O$16),"")</f>
        <v/>
      </c>
      <c r="K7" s="67" t="str">
        <f>IF(AND('Mapa final'!$Y$17="Muy Alta",'Mapa final'!$AA$17="Leve"),CONCATENATE("R2C",'Mapa final'!$O$17),"")</f>
        <v/>
      </c>
      <c r="L7" s="67" t="str">
        <f>IF(AND('Mapa final'!$Y$18="Muy Alta",'Mapa final'!$AA$18="Leve"),CONCATENATE("R2C",'Mapa final'!$O$18),"")</f>
        <v/>
      </c>
      <c r="M7" s="67" t="str">
        <f>IF(AND('Mapa final'!$Y$19="Muy Alta",'Mapa final'!$AA$19="Leve"),CONCATENATE("R2C",'Mapa final'!$O$19),"")</f>
        <v/>
      </c>
      <c r="N7" s="67" t="str">
        <f>IF(AND('Mapa final'!$Y$20="Muy Alta",'Mapa final'!$AA$20="Leve"),CONCATENATE("R2C",'Mapa final'!$O$20),"")</f>
        <v/>
      </c>
      <c r="O7" s="68" t="str">
        <f>IF(AND('Mapa final'!$Y$21="Muy Alta",'Mapa final'!$AA$21="Leve"),CONCATENATE("R2C",'Mapa final'!$O$21),"")</f>
        <v/>
      </c>
      <c r="P7" s="66" t="str">
        <f>IF(AND('Mapa final'!$Y$16="Muy Alta",'Mapa final'!$AA$16="Menor"),CONCATENATE("R2C",'Mapa final'!$O$16),"")</f>
        <v/>
      </c>
      <c r="Q7" s="67" t="str">
        <f>IF(AND('Mapa final'!$Y$17="Muy Alta",'Mapa final'!$AA$17="Menor"),CONCATENATE("R2C",'Mapa final'!$O$17),"")</f>
        <v/>
      </c>
      <c r="R7" s="67" t="str">
        <f>IF(AND('Mapa final'!$Y$18="Muy Alta",'Mapa final'!$AA$18="Menor"),CONCATENATE("R2C",'Mapa final'!$O$18),"")</f>
        <v/>
      </c>
      <c r="S7" s="67" t="str">
        <f>IF(AND('Mapa final'!$Y$19="Muy Alta",'Mapa final'!$AA$19="Menor"),CONCATENATE("R2C",'Mapa final'!$O$19),"")</f>
        <v/>
      </c>
      <c r="T7" s="67" t="str">
        <f>IF(AND('Mapa final'!$Y$20="Muy Alta",'Mapa final'!$AA$20="Menor"),CONCATENATE("R2C",'Mapa final'!$O$20),"")</f>
        <v/>
      </c>
      <c r="U7" s="68" t="str">
        <f>IF(AND('Mapa final'!$Y$21="Muy Alta",'Mapa final'!$AA$21="Menor"),CONCATENATE("R2C",'Mapa final'!$O$21),"")</f>
        <v/>
      </c>
      <c r="V7" s="66" t="str">
        <f>IF(AND('Mapa final'!$Y$16="Muy Alta",'Mapa final'!$AA$16="Moderado"),CONCATENATE("R2C",'Mapa final'!$O$16),"")</f>
        <v/>
      </c>
      <c r="W7" s="67" t="str">
        <f>IF(AND('Mapa final'!$Y$17="Muy Alta",'Mapa final'!$AA$17="Moderado"),CONCATENATE("R2C",'Mapa final'!$O$17),"")</f>
        <v/>
      </c>
      <c r="X7" s="67" t="str">
        <f>IF(AND('Mapa final'!$Y$18="Muy Alta",'Mapa final'!$AA$18="Moderado"),CONCATENATE("R2C",'Mapa final'!$O$18),"")</f>
        <v/>
      </c>
      <c r="Y7" s="67" t="str">
        <f>IF(AND('Mapa final'!$Y$19="Muy Alta",'Mapa final'!$AA$19="Moderado"),CONCATENATE("R2C",'Mapa final'!$O$19),"")</f>
        <v/>
      </c>
      <c r="Z7" s="67" t="str">
        <f>IF(AND('Mapa final'!$Y$20="Muy Alta",'Mapa final'!$AA$20="Moderado"),CONCATENATE("R2C",'Mapa final'!$O$20),"")</f>
        <v/>
      </c>
      <c r="AA7" s="68" t="str">
        <f>IF(AND('Mapa final'!$Y$21="Muy Alta",'Mapa final'!$AA$21="Moderado"),CONCATENATE("R2C",'Mapa final'!$O$21),"")</f>
        <v/>
      </c>
      <c r="AB7" s="66" t="str">
        <f>IF(AND('Mapa final'!$Y$16="Muy Alta",'Mapa final'!$AA$16="Mayor"),CONCATENATE("R2C",'Mapa final'!$O$16),"")</f>
        <v/>
      </c>
      <c r="AC7" s="67" t="str">
        <f>IF(AND('Mapa final'!$Y$17="Muy Alta",'Mapa final'!$AA$17="Mayor"),CONCATENATE("R2C",'Mapa final'!$O$17),"")</f>
        <v/>
      </c>
      <c r="AD7" s="67" t="str">
        <f>IF(AND('Mapa final'!$Y$18="Muy Alta",'Mapa final'!$AA$18="Mayor"),CONCATENATE("R2C",'Mapa final'!$O$18),"")</f>
        <v/>
      </c>
      <c r="AE7" s="67" t="str">
        <f>IF(AND('Mapa final'!$Y$19="Muy Alta",'Mapa final'!$AA$19="Mayor"),CONCATENATE("R2C",'Mapa final'!$O$19),"")</f>
        <v/>
      </c>
      <c r="AF7" s="67" t="str">
        <f>IF(AND('Mapa final'!$Y$20="Muy Alta",'Mapa final'!$AA$20="Mayor"),CONCATENATE("R2C",'Mapa final'!$O$20),"")</f>
        <v/>
      </c>
      <c r="AG7" s="68" t="str">
        <f>IF(AND('Mapa final'!$Y$21="Muy Alta",'Mapa final'!$AA$21="Mayor"),CONCATENATE("R2C",'Mapa final'!$O$21),"")</f>
        <v/>
      </c>
      <c r="AH7" s="69" t="str">
        <f>IF(AND('Mapa final'!$Y$16="Muy Alta",'Mapa final'!$AA$16="Catastrófico"),CONCATENATE("R2C",'Mapa final'!$O$16),"")</f>
        <v/>
      </c>
      <c r="AI7" s="70" t="str">
        <f>IF(AND('Mapa final'!$Y$17="Muy Alta",'Mapa final'!$AA$17="Catastrófico"),CONCATENATE("R2C",'Mapa final'!$O$17),"")</f>
        <v/>
      </c>
      <c r="AJ7" s="70" t="str">
        <f>IF(AND('Mapa final'!$Y$18="Muy Alta",'Mapa final'!$AA$18="Catastrófico"),CONCATENATE("R2C",'Mapa final'!$O$18),"")</f>
        <v/>
      </c>
      <c r="AK7" s="70" t="str">
        <f>IF(AND('Mapa final'!$Y$19="Muy Alta",'Mapa final'!$AA$19="Catastrófico"),CONCATENATE("R2C",'Mapa final'!$O$19),"")</f>
        <v/>
      </c>
      <c r="AL7" s="70" t="str">
        <f>IF(AND('Mapa final'!$Y$20="Muy Alta",'Mapa final'!$AA$20="Catastrófico"),CONCATENATE("R2C",'Mapa final'!$O$20),"")</f>
        <v/>
      </c>
      <c r="AM7" s="71" t="str">
        <f>IF(AND('Mapa final'!$Y$21="Muy Alta",'Mapa final'!$AA$21="Catastrófico"),CONCATENATE("R2C",'Mapa final'!$O$21),"")</f>
        <v/>
      </c>
      <c r="AN7" s="97"/>
      <c r="AO7" s="351"/>
      <c r="AP7" s="352"/>
      <c r="AQ7" s="352"/>
      <c r="AR7" s="352"/>
      <c r="AS7" s="352"/>
      <c r="AT7" s="353"/>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x14ac:dyDescent="0.25">
      <c r="A8" s="97"/>
      <c r="B8" s="246"/>
      <c r="C8" s="246"/>
      <c r="D8" s="247"/>
      <c r="E8" s="345"/>
      <c r="F8" s="344"/>
      <c r="G8" s="344"/>
      <c r="H8" s="344"/>
      <c r="I8" s="360"/>
      <c r="J8" s="66" t="str">
        <f>IF(AND('Mapa final'!$Y$22="Muy Alta",'Mapa final'!$AA$22="Leve"),CONCATENATE("R3C",'Mapa final'!$O$22),"")</f>
        <v/>
      </c>
      <c r="K8" s="67" t="str">
        <f>IF(AND('Mapa final'!$Y$23="Muy Alta",'Mapa final'!$AA$23="Leve"),CONCATENATE("R3C",'Mapa final'!$O$23),"")</f>
        <v/>
      </c>
      <c r="L8" s="67" t="str">
        <f>IF(AND('Mapa final'!$Y$24="Muy Alta",'Mapa final'!$AA$24="Leve"),CONCATENATE("R3C",'Mapa final'!$O$24),"")</f>
        <v/>
      </c>
      <c r="M8" s="67" t="str">
        <f>IF(AND('Mapa final'!$Y$25="Muy Alta",'Mapa final'!$AA$25="Leve"),CONCATENATE("R3C",'Mapa final'!$O$25),"")</f>
        <v/>
      </c>
      <c r="N8" s="67" t="str">
        <f>IF(AND('Mapa final'!$Y$26="Muy Alta",'Mapa final'!$AA$26="Leve"),CONCATENATE("R3C",'Mapa final'!$O$26),"")</f>
        <v/>
      </c>
      <c r="O8" s="68" t="str">
        <f>IF(AND('Mapa final'!$Y$27="Muy Alta",'Mapa final'!$AA$27="Leve"),CONCATENATE("R3C",'Mapa final'!$O$27),"")</f>
        <v/>
      </c>
      <c r="P8" s="66" t="str">
        <f>IF(AND('Mapa final'!$Y$22="Muy Alta",'Mapa final'!$AA$22="Menor"),CONCATENATE("R3C",'Mapa final'!$O$22),"")</f>
        <v/>
      </c>
      <c r="Q8" s="67" t="str">
        <f>IF(AND('Mapa final'!$Y$23="Muy Alta",'Mapa final'!$AA$23="Menor"),CONCATENATE("R3C",'Mapa final'!$O$23),"")</f>
        <v/>
      </c>
      <c r="R8" s="67" t="str">
        <f>IF(AND('Mapa final'!$Y$24="Muy Alta",'Mapa final'!$AA$24="Menor"),CONCATENATE("R3C",'Mapa final'!$O$24),"")</f>
        <v/>
      </c>
      <c r="S8" s="67" t="str">
        <f>IF(AND('Mapa final'!$Y$25="Muy Alta",'Mapa final'!$AA$25="Menor"),CONCATENATE("R3C",'Mapa final'!$O$25),"")</f>
        <v/>
      </c>
      <c r="T8" s="67" t="str">
        <f>IF(AND('Mapa final'!$Y$26="Muy Alta",'Mapa final'!$AA$26="Menor"),CONCATENATE("R3C",'Mapa final'!$O$26),"")</f>
        <v/>
      </c>
      <c r="U8" s="68" t="str">
        <f>IF(AND('Mapa final'!$Y$27="Muy Alta",'Mapa final'!$AA$27="Menor"),CONCATENATE("R3C",'Mapa final'!$O$27),"")</f>
        <v/>
      </c>
      <c r="V8" s="66" t="str">
        <f>IF(AND('Mapa final'!$Y$22="Muy Alta",'Mapa final'!$AA$22="Moderado"),CONCATENATE("R3C",'Mapa final'!$O$22),"")</f>
        <v/>
      </c>
      <c r="W8" s="67" t="str">
        <f>IF(AND('Mapa final'!$Y$23="Muy Alta",'Mapa final'!$AA$23="Moderado"),CONCATENATE("R3C",'Mapa final'!$O$23),"")</f>
        <v/>
      </c>
      <c r="X8" s="67" t="str">
        <f>IF(AND('Mapa final'!$Y$24="Muy Alta",'Mapa final'!$AA$24="Moderado"),CONCATENATE("R3C",'Mapa final'!$O$24),"")</f>
        <v/>
      </c>
      <c r="Y8" s="67" t="str">
        <f>IF(AND('Mapa final'!$Y$25="Muy Alta",'Mapa final'!$AA$25="Moderado"),CONCATENATE("R3C",'Mapa final'!$O$25),"")</f>
        <v/>
      </c>
      <c r="Z8" s="67" t="str">
        <f>IF(AND('Mapa final'!$Y$26="Muy Alta",'Mapa final'!$AA$26="Moderado"),CONCATENATE("R3C",'Mapa final'!$O$26),"")</f>
        <v/>
      </c>
      <c r="AA8" s="68" t="str">
        <f>IF(AND('Mapa final'!$Y$27="Muy Alta",'Mapa final'!$AA$27="Moderado"),CONCATENATE("R3C",'Mapa final'!$O$27),"")</f>
        <v/>
      </c>
      <c r="AB8" s="66" t="str">
        <f>IF(AND('Mapa final'!$Y$22="Muy Alta",'Mapa final'!$AA$22="Mayor"),CONCATENATE("R3C",'Mapa final'!$O$22),"")</f>
        <v/>
      </c>
      <c r="AC8" s="67" t="str">
        <f>IF(AND('Mapa final'!$Y$23="Muy Alta",'Mapa final'!$AA$23="Mayor"),CONCATENATE("R3C",'Mapa final'!$O$23),"")</f>
        <v/>
      </c>
      <c r="AD8" s="67" t="str">
        <f>IF(AND('Mapa final'!$Y$24="Muy Alta",'Mapa final'!$AA$24="Mayor"),CONCATENATE("R3C",'Mapa final'!$O$24),"")</f>
        <v/>
      </c>
      <c r="AE8" s="67" t="str">
        <f>IF(AND('Mapa final'!$Y$25="Muy Alta",'Mapa final'!$AA$25="Mayor"),CONCATENATE("R3C",'Mapa final'!$O$25),"")</f>
        <v/>
      </c>
      <c r="AF8" s="67" t="str">
        <f>IF(AND('Mapa final'!$Y$26="Muy Alta",'Mapa final'!$AA$26="Mayor"),CONCATENATE("R3C",'Mapa final'!$O$26),"")</f>
        <v/>
      </c>
      <c r="AG8" s="68" t="str">
        <f>IF(AND('Mapa final'!$Y$27="Muy Alta",'Mapa final'!$AA$27="Mayor"),CONCATENATE("R3C",'Mapa final'!$O$27),"")</f>
        <v/>
      </c>
      <c r="AH8" s="69" t="str">
        <f>IF(AND('Mapa final'!$Y$22="Muy Alta",'Mapa final'!$AA$22="Catastrófico"),CONCATENATE("R3C",'Mapa final'!$O$22),"")</f>
        <v/>
      </c>
      <c r="AI8" s="70" t="str">
        <f>IF(AND('Mapa final'!$Y$23="Muy Alta",'Mapa final'!$AA$23="Catastrófico"),CONCATENATE("R3C",'Mapa final'!$O$23),"")</f>
        <v/>
      </c>
      <c r="AJ8" s="70" t="str">
        <f>IF(AND('Mapa final'!$Y$24="Muy Alta",'Mapa final'!$AA$24="Catastrófico"),CONCATENATE("R3C",'Mapa final'!$O$24),"")</f>
        <v/>
      </c>
      <c r="AK8" s="70" t="str">
        <f>IF(AND('Mapa final'!$Y$25="Muy Alta",'Mapa final'!$AA$25="Catastrófico"),CONCATENATE("R3C",'Mapa final'!$O$25),"")</f>
        <v/>
      </c>
      <c r="AL8" s="70" t="str">
        <f>IF(AND('Mapa final'!$Y$26="Muy Alta",'Mapa final'!$AA$26="Catastrófico"),CONCATENATE("R3C",'Mapa final'!$O$26),"")</f>
        <v/>
      </c>
      <c r="AM8" s="71" t="str">
        <f>IF(AND('Mapa final'!$Y$27="Muy Alta",'Mapa final'!$AA$27="Catastrófico"),CONCATENATE("R3C",'Mapa final'!$O$27),"")</f>
        <v/>
      </c>
      <c r="AN8" s="97"/>
      <c r="AO8" s="351"/>
      <c r="AP8" s="352"/>
      <c r="AQ8" s="352"/>
      <c r="AR8" s="352"/>
      <c r="AS8" s="352"/>
      <c r="AT8" s="353"/>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x14ac:dyDescent="0.25">
      <c r="A9" s="97"/>
      <c r="B9" s="246"/>
      <c r="C9" s="246"/>
      <c r="D9" s="247"/>
      <c r="E9" s="345"/>
      <c r="F9" s="344"/>
      <c r="G9" s="344"/>
      <c r="H9" s="344"/>
      <c r="I9" s="360"/>
      <c r="J9" s="66" t="str">
        <f>IF(AND('Mapa final'!$Y$28="Muy Alta",'Mapa final'!$AA$28="Leve"),CONCATENATE("R4C",'Mapa final'!$O$28),"")</f>
        <v/>
      </c>
      <c r="K9" s="67" t="str">
        <f>IF(AND('Mapa final'!$Y$29="Muy Alta",'Mapa final'!$AA$29="Leve"),CONCATENATE("R4C",'Mapa final'!$O$29),"")</f>
        <v/>
      </c>
      <c r="L9" s="67" t="str">
        <f>IF(AND('Mapa final'!$Y$30="Muy Alta",'Mapa final'!$AA$30="Leve"),CONCATENATE("R4C",'Mapa final'!$O$30),"")</f>
        <v/>
      </c>
      <c r="M9" s="67" t="str">
        <f>IF(AND('Mapa final'!$Y$31="Muy Alta",'Mapa final'!$AA$31="Leve"),CONCATENATE("R4C",'Mapa final'!$O$31),"")</f>
        <v/>
      </c>
      <c r="N9" s="67" t="str">
        <f>IF(AND('Mapa final'!$Y$32="Muy Alta",'Mapa final'!$AA$32="Leve"),CONCATENATE("R4C",'Mapa final'!$O$32),"")</f>
        <v/>
      </c>
      <c r="O9" s="68" t="str">
        <f>IF(AND('Mapa final'!$Y$33="Muy Alta",'Mapa final'!$AA$33="Leve"),CONCATENATE("R4C",'Mapa final'!$O$33),"")</f>
        <v/>
      </c>
      <c r="P9" s="66" t="str">
        <f>IF(AND('Mapa final'!$Y$28="Muy Alta",'Mapa final'!$AA$28="Menor"),CONCATENATE("R4C",'Mapa final'!$O$28),"")</f>
        <v/>
      </c>
      <c r="Q9" s="67" t="str">
        <f>IF(AND('Mapa final'!$Y$29="Muy Alta",'Mapa final'!$AA$29="Menor"),CONCATENATE("R4C",'Mapa final'!$O$29),"")</f>
        <v/>
      </c>
      <c r="R9" s="67" t="str">
        <f>IF(AND('Mapa final'!$Y$30="Muy Alta",'Mapa final'!$AA$30="Menor"),CONCATENATE("R4C",'Mapa final'!$O$30),"")</f>
        <v/>
      </c>
      <c r="S9" s="67" t="str">
        <f>IF(AND('Mapa final'!$Y$31="Muy Alta",'Mapa final'!$AA$31="Menor"),CONCATENATE("R4C",'Mapa final'!$O$31),"")</f>
        <v/>
      </c>
      <c r="T9" s="67" t="str">
        <f>IF(AND('Mapa final'!$Y$32="Muy Alta",'Mapa final'!$AA$32="Menor"),CONCATENATE("R4C",'Mapa final'!$O$32),"")</f>
        <v/>
      </c>
      <c r="U9" s="68" t="str">
        <f>IF(AND('Mapa final'!$Y$33="Muy Alta",'Mapa final'!$AA$33="Menor"),CONCATENATE("R4C",'Mapa final'!$O$33),"")</f>
        <v/>
      </c>
      <c r="V9" s="66" t="str">
        <f>IF(AND('Mapa final'!$Y$28="Muy Alta",'Mapa final'!$AA$28="Moderado"),CONCATENATE("R4C",'Mapa final'!$O$28),"")</f>
        <v/>
      </c>
      <c r="W9" s="67" t="str">
        <f>IF(AND('Mapa final'!$Y$29="Muy Alta",'Mapa final'!$AA$29="Moderado"),CONCATENATE("R4C",'Mapa final'!$O$29),"")</f>
        <v/>
      </c>
      <c r="X9" s="67" t="str">
        <f>IF(AND('Mapa final'!$Y$30="Muy Alta",'Mapa final'!$AA$30="Moderado"),CONCATENATE("R4C",'Mapa final'!$O$30),"")</f>
        <v/>
      </c>
      <c r="Y9" s="67" t="str">
        <f>IF(AND('Mapa final'!$Y$31="Muy Alta",'Mapa final'!$AA$31="Moderado"),CONCATENATE("R4C",'Mapa final'!$O$31),"")</f>
        <v/>
      </c>
      <c r="Z9" s="67" t="str">
        <f>IF(AND('Mapa final'!$Y$32="Muy Alta",'Mapa final'!$AA$32="Moderado"),CONCATENATE("R4C",'Mapa final'!$O$32),"")</f>
        <v/>
      </c>
      <c r="AA9" s="68" t="str">
        <f>IF(AND('Mapa final'!$Y$33="Muy Alta",'Mapa final'!$AA$33="Moderado"),CONCATENATE("R4C",'Mapa final'!$O$33),"")</f>
        <v/>
      </c>
      <c r="AB9" s="66" t="str">
        <f>IF(AND('Mapa final'!$Y$28="Muy Alta",'Mapa final'!$AA$28="Mayor"),CONCATENATE("R4C",'Mapa final'!$O$28),"")</f>
        <v/>
      </c>
      <c r="AC9" s="67" t="str">
        <f>IF(AND('Mapa final'!$Y$29="Muy Alta",'Mapa final'!$AA$29="Mayor"),CONCATENATE("R4C",'Mapa final'!$O$29),"")</f>
        <v/>
      </c>
      <c r="AD9" s="67" t="str">
        <f>IF(AND('Mapa final'!$Y$30="Muy Alta",'Mapa final'!$AA$30="Mayor"),CONCATENATE("R4C",'Mapa final'!$O$30),"")</f>
        <v/>
      </c>
      <c r="AE9" s="67" t="str">
        <f>IF(AND('Mapa final'!$Y$31="Muy Alta",'Mapa final'!$AA$31="Mayor"),CONCATENATE("R4C",'Mapa final'!$O$31),"")</f>
        <v/>
      </c>
      <c r="AF9" s="67" t="str">
        <f>IF(AND('Mapa final'!$Y$32="Muy Alta",'Mapa final'!$AA$32="Mayor"),CONCATENATE("R4C",'Mapa final'!$O$32),"")</f>
        <v/>
      </c>
      <c r="AG9" s="68" t="str">
        <f>IF(AND('Mapa final'!$Y$33="Muy Alta",'Mapa final'!$AA$33="Mayor"),CONCATENATE("R4C",'Mapa final'!$O$33),"")</f>
        <v/>
      </c>
      <c r="AH9" s="69" t="str">
        <f>IF(AND('Mapa final'!$Y$28="Muy Alta",'Mapa final'!$AA$28="Catastrófico"),CONCATENATE("R4C",'Mapa final'!$O$28),"")</f>
        <v/>
      </c>
      <c r="AI9" s="70" t="str">
        <f>IF(AND('Mapa final'!$Y$29="Muy Alta",'Mapa final'!$AA$29="Catastrófico"),CONCATENATE("R4C",'Mapa final'!$O$29),"")</f>
        <v/>
      </c>
      <c r="AJ9" s="70" t="str">
        <f>IF(AND('Mapa final'!$Y$30="Muy Alta",'Mapa final'!$AA$30="Catastrófico"),CONCATENATE("R4C",'Mapa final'!$O$30),"")</f>
        <v/>
      </c>
      <c r="AK9" s="70" t="str">
        <f>IF(AND('Mapa final'!$Y$31="Muy Alta",'Mapa final'!$AA$31="Catastrófico"),CONCATENATE("R4C",'Mapa final'!$O$31),"")</f>
        <v/>
      </c>
      <c r="AL9" s="70" t="str">
        <f>IF(AND('Mapa final'!$Y$32="Muy Alta",'Mapa final'!$AA$32="Catastrófico"),CONCATENATE("R4C",'Mapa final'!$O$32),"")</f>
        <v/>
      </c>
      <c r="AM9" s="71" t="str">
        <f>IF(AND('Mapa final'!$Y$33="Muy Alta",'Mapa final'!$AA$33="Catastrófico"),CONCATENATE("R4C",'Mapa final'!$O$33),"")</f>
        <v/>
      </c>
      <c r="AN9" s="97"/>
      <c r="AO9" s="351"/>
      <c r="AP9" s="352"/>
      <c r="AQ9" s="352"/>
      <c r="AR9" s="352"/>
      <c r="AS9" s="352"/>
      <c r="AT9" s="353"/>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x14ac:dyDescent="0.25">
      <c r="A10" s="97"/>
      <c r="B10" s="246"/>
      <c r="C10" s="246"/>
      <c r="D10" s="247"/>
      <c r="E10" s="345"/>
      <c r="F10" s="344"/>
      <c r="G10" s="344"/>
      <c r="H10" s="344"/>
      <c r="I10" s="360"/>
      <c r="J10" s="66" t="str">
        <f>IF(AND('Mapa final'!$Y$34="Muy Alta",'Mapa final'!$AA$34="Leve"),CONCATENATE("R5C",'Mapa final'!$O$34),"")</f>
        <v/>
      </c>
      <c r="K10" s="67" t="str">
        <f>IF(AND('Mapa final'!$Y$35="Muy Alta",'Mapa final'!$AA$35="Leve"),CONCATENATE("R5C",'Mapa final'!$O$35),"")</f>
        <v/>
      </c>
      <c r="L10" s="67" t="str">
        <f>IF(AND('Mapa final'!$Y$36="Muy Alta",'Mapa final'!$AA$36="Leve"),CONCATENATE("R5C",'Mapa final'!$O$36),"")</f>
        <v/>
      </c>
      <c r="M10" s="67" t="str">
        <f>IF(AND('Mapa final'!$Y$37="Muy Alta",'Mapa final'!$AA$37="Leve"),CONCATENATE("R5C",'Mapa final'!$O$37),"")</f>
        <v/>
      </c>
      <c r="N10" s="67" t="str">
        <f>IF(AND('Mapa final'!$Y$38="Muy Alta",'Mapa final'!$AA$38="Leve"),CONCATENATE("R5C",'Mapa final'!$O$38),"")</f>
        <v/>
      </c>
      <c r="O10" s="68" t="str">
        <f>IF(AND('Mapa final'!$Y$39="Muy Alta",'Mapa final'!$AA$39="Leve"),CONCATENATE("R5C",'Mapa final'!$O$39),"")</f>
        <v/>
      </c>
      <c r="P10" s="66" t="str">
        <f>IF(AND('Mapa final'!$Y$34="Muy Alta",'Mapa final'!$AA$34="Menor"),CONCATENATE("R5C",'Mapa final'!$O$34),"")</f>
        <v/>
      </c>
      <c r="Q10" s="67" t="str">
        <f>IF(AND('Mapa final'!$Y$35="Muy Alta",'Mapa final'!$AA$35="Menor"),CONCATENATE("R5C",'Mapa final'!$O$35),"")</f>
        <v/>
      </c>
      <c r="R10" s="67" t="str">
        <f>IF(AND('Mapa final'!$Y$36="Muy Alta",'Mapa final'!$AA$36="Menor"),CONCATENATE("R5C",'Mapa final'!$O$36),"")</f>
        <v/>
      </c>
      <c r="S10" s="67" t="str">
        <f>IF(AND('Mapa final'!$Y$37="Muy Alta",'Mapa final'!$AA$37="Menor"),CONCATENATE("R5C",'Mapa final'!$O$37),"")</f>
        <v/>
      </c>
      <c r="T10" s="67" t="str">
        <f>IF(AND('Mapa final'!$Y$38="Muy Alta",'Mapa final'!$AA$38="Menor"),CONCATENATE("R5C",'Mapa final'!$O$38),"")</f>
        <v/>
      </c>
      <c r="U10" s="68" t="str">
        <f>IF(AND('Mapa final'!$Y$39="Muy Alta",'Mapa final'!$AA$39="Menor"),CONCATENATE("R5C",'Mapa final'!$O$39),"")</f>
        <v/>
      </c>
      <c r="V10" s="66" t="str">
        <f>IF(AND('Mapa final'!$Y$34="Muy Alta",'Mapa final'!$AA$34="Moderado"),CONCATENATE("R5C",'Mapa final'!$O$34),"")</f>
        <v/>
      </c>
      <c r="W10" s="67" t="str">
        <f>IF(AND('Mapa final'!$Y$35="Muy Alta",'Mapa final'!$AA$35="Moderado"),CONCATENATE("R5C",'Mapa final'!$O$35),"")</f>
        <v/>
      </c>
      <c r="X10" s="67" t="str">
        <f>IF(AND('Mapa final'!$Y$36="Muy Alta",'Mapa final'!$AA$36="Moderado"),CONCATENATE("R5C",'Mapa final'!$O$36),"")</f>
        <v/>
      </c>
      <c r="Y10" s="67" t="str">
        <f>IF(AND('Mapa final'!$Y$37="Muy Alta",'Mapa final'!$AA$37="Moderado"),CONCATENATE("R5C",'Mapa final'!$O$37),"")</f>
        <v/>
      </c>
      <c r="Z10" s="67" t="str">
        <f>IF(AND('Mapa final'!$Y$38="Muy Alta",'Mapa final'!$AA$38="Moderado"),CONCATENATE("R5C",'Mapa final'!$O$38),"")</f>
        <v/>
      </c>
      <c r="AA10" s="68" t="str">
        <f>IF(AND('Mapa final'!$Y$39="Muy Alta",'Mapa final'!$AA$39="Moderado"),CONCATENATE("R5C",'Mapa final'!$O$39),"")</f>
        <v/>
      </c>
      <c r="AB10" s="66" t="str">
        <f>IF(AND('Mapa final'!$Y$34="Muy Alta",'Mapa final'!$AA$34="Mayor"),CONCATENATE("R5C",'Mapa final'!$O$34),"")</f>
        <v/>
      </c>
      <c r="AC10" s="67" t="str">
        <f>IF(AND('Mapa final'!$Y$35="Muy Alta",'Mapa final'!$AA$35="Mayor"),CONCATENATE("R5C",'Mapa final'!$O$35),"")</f>
        <v/>
      </c>
      <c r="AD10" s="67" t="str">
        <f>IF(AND('Mapa final'!$Y$36="Muy Alta",'Mapa final'!$AA$36="Mayor"),CONCATENATE("R5C",'Mapa final'!$O$36),"")</f>
        <v/>
      </c>
      <c r="AE10" s="67" t="str">
        <f>IF(AND('Mapa final'!$Y$37="Muy Alta",'Mapa final'!$AA$37="Mayor"),CONCATENATE("R5C",'Mapa final'!$O$37),"")</f>
        <v/>
      </c>
      <c r="AF10" s="67" t="str">
        <f>IF(AND('Mapa final'!$Y$38="Muy Alta",'Mapa final'!$AA$38="Mayor"),CONCATENATE("R5C",'Mapa final'!$O$38),"")</f>
        <v/>
      </c>
      <c r="AG10" s="68" t="str">
        <f>IF(AND('Mapa final'!$Y$39="Muy Alta",'Mapa final'!$AA$39="Mayor"),CONCATENATE("R5C",'Mapa final'!$O$39),"")</f>
        <v/>
      </c>
      <c r="AH10" s="69" t="str">
        <f>IF(AND('Mapa final'!$Y$34="Muy Alta",'Mapa final'!$AA$34="Catastrófico"),CONCATENATE("R5C",'Mapa final'!$O$34),"")</f>
        <v/>
      </c>
      <c r="AI10" s="70" t="str">
        <f>IF(AND('Mapa final'!$Y$35="Muy Alta",'Mapa final'!$AA$35="Catastrófico"),CONCATENATE("R5C",'Mapa final'!$O$35),"")</f>
        <v/>
      </c>
      <c r="AJ10" s="70" t="str">
        <f>IF(AND('Mapa final'!$Y$36="Muy Alta",'Mapa final'!$AA$36="Catastrófico"),CONCATENATE("R5C",'Mapa final'!$O$36),"")</f>
        <v/>
      </c>
      <c r="AK10" s="70" t="str">
        <f>IF(AND('Mapa final'!$Y$37="Muy Alta",'Mapa final'!$AA$37="Catastrófico"),CONCATENATE("R5C",'Mapa final'!$O$37),"")</f>
        <v/>
      </c>
      <c r="AL10" s="70" t="str">
        <f>IF(AND('Mapa final'!$Y$38="Muy Alta",'Mapa final'!$AA$38="Catastrófico"),CONCATENATE("R5C",'Mapa final'!$O$38),"")</f>
        <v/>
      </c>
      <c r="AM10" s="71" t="str">
        <f>IF(AND('Mapa final'!$Y$39="Muy Alta",'Mapa final'!$AA$39="Catastrófico"),CONCATENATE("R5C",'Mapa final'!$O$39),"")</f>
        <v/>
      </c>
      <c r="AN10" s="97"/>
      <c r="AO10" s="351"/>
      <c r="AP10" s="352"/>
      <c r="AQ10" s="352"/>
      <c r="AR10" s="352"/>
      <c r="AS10" s="352"/>
      <c r="AT10" s="353"/>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x14ac:dyDescent="0.25">
      <c r="A11" s="97"/>
      <c r="B11" s="246"/>
      <c r="C11" s="246"/>
      <c r="D11" s="247"/>
      <c r="E11" s="345"/>
      <c r="F11" s="344"/>
      <c r="G11" s="344"/>
      <c r="H11" s="344"/>
      <c r="I11" s="360"/>
      <c r="J11" s="66" t="str">
        <f>IF(AND('Mapa final'!$Y$40="Muy Alta",'Mapa final'!$AA$40="Leve"),CONCATENATE("R6C",'Mapa final'!$O$40),"")</f>
        <v/>
      </c>
      <c r="K11" s="67" t="str">
        <f>IF(AND('Mapa final'!$Y$41="Muy Alta",'Mapa final'!$AA$41="Leve"),CONCATENATE("R6C",'Mapa final'!$O$41),"")</f>
        <v/>
      </c>
      <c r="L11" s="67" t="str">
        <f>IF(AND('Mapa final'!$Y$42="Muy Alta",'Mapa final'!$AA$42="Leve"),CONCATENATE("R6C",'Mapa final'!$O$42),"")</f>
        <v/>
      </c>
      <c r="M11" s="67" t="str">
        <f>IF(AND('Mapa final'!$Y$43="Muy Alta",'Mapa final'!$AA$43="Leve"),CONCATENATE("R6C",'Mapa final'!$O$43),"")</f>
        <v/>
      </c>
      <c r="N11" s="67" t="str">
        <f>IF(AND('Mapa final'!$Y$44="Muy Alta",'Mapa final'!$AA$44="Leve"),CONCATENATE("R6C",'Mapa final'!$O$44),"")</f>
        <v/>
      </c>
      <c r="O11" s="68" t="str">
        <f>IF(AND('Mapa final'!$Y$45="Muy Alta",'Mapa final'!$AA$45="Leve"),CONCATENATE("R6C",'Mapa final'!$O$45),"")</f>
        <v/>
      </c>
      <c r="P11" s="66" t="str">
        <f>IF(AND('Mapa final'!$Y$40="Muy Alta",'Mapa final'!$AA$40="Menor"),CONCATENATE("R6C",'Mapa final'!$O$40),"")</f>
        <v/>
      </c>
      <c r="Q11" s="67" t="str">
        <f>IF(AND('Mapa final'!$Y$41="Muy Alta",'Mapa final'!$AA$41="Menor"),CONCATENATE("R6C",'Mapa final'!$O$41),"")</f>
        <v/>
      </c>
      <c r="R11" s="67" t="str">
        <f>IF(AND('Mapa final'!$Y$42="Muy Alta",'Mapa final'!$AA$42="Menor"),CONCATENATE("R6C",'Mapa final'!$O$42),"")</f>
        <v/>
      </c>
      <c r="S11" s="67" t="str">
        <f>IF(AND('Mapa final'!$Y$43="Muy Alta",'Mapa final'!$AA$43="Menor"),CONCATENATE("R6C",'Mapa final'!$O$43),"")</f>
        <v/>
      </c>
      <c r="T11" s="67" t="str">
        <f>IF(AND('Mapa final'!$Y$44="Muy Alta",'Mapa final'!$AA$44="Menor"),CONCATENATE("R6C",'Mapa final'!$O$44),"")</f>
        <v/>
      </c>
      <c r="U11" s="68" t="str">
        <f>IF(AND('Mapa final'!$Y$45="Muy Alta",'Mapa final'!$AA$45="Menor"),CONCATENATE("R6C",'Mapa final'!$O$45),"")</f>
        <v/>
      </c>
      <c r="V11" s="66" t="str">
        <f>IF(AND('Mapa final'!$Y$40="Muy Alta",'Mapa final'!$AA$40="Moderado"),CONCATENATE("R6C",'Mapa final'!$O$40),"")</f>
        <v/>
      </c>
      <c r="W11" s="67" t="str">
        <f>IF(AND('Mapa final'!$Y$41="Muy Alta",'Mapa final'!$AA$41="Moderado"),CONCATENATE("R6C",'Mapa final'!$O$41),"")</f>
        <v/>
      </c>
      <c r="X11" s="67" t="str">
        <f>IF(AND('Mapa final'!$Y$42="Muy Alta",'Mapa final'!$AA$42="Moderado"),CONCATENATE("R6C",'Mapa final'!$O$42),"")</f>
        <v/>
      </c>
      <c r="Y11" s="67" t="str">
        <f>IF(AND('Mapa final'!$Y$43="Muy Alta",'Mapa final'!$AA$43="Moderado"),CONCATENATE("R6C",'Mapa final'!$O$43),"")</f>
        <v/>
      </c>
      <c r="Z11" s="67" t="str">
        <f>IF(AND('Mapa final'!$Y$44="Muy Alta",'Mapa final'!$AA$44="Moderado"),CONCATENATE("R6C",'Mapa final'!$O$44),"")</f>
        <v/>
      </c>
      <c r="AA11" s="68" t="str">
        <f>IF(AND('Mapa final'!$Y$45="Muy Alta",'Mapa final'!$AA$45="Moderado"),CONCATENATE("R6C",'Mapa final'!$O$45),"")</f>
        <v/>
      </c>
      <c r="AB11" s="66" t="str">
        <f>IF(AND('Mapa final'!$Y$40="Muy Alta",'Mapa final'!$AA$40="Mayor"),CONCATENATE("R6C",'Mapa final'!$O$40),"")</f>
        <v/>
      </c>
      <c r="AC11" s="67" t="str">
        <f>IF(AND('Mapa final'!$Y$41="Muy Alta",'Mapa final'!$AA$41="Mayor"),CONCATENATE("R6C",'Mapa final'!$O$41),"")</f>
        <v/>
      </c>
      <c r="AD11" s="67" t="str">
        <f>IF(AND('Mapa final'!$Y$42="Muy Alta",'Mapa final'!$AA$42="Mayor"),CONCATENATE("R6C",'Mapa final'!$O$42),"")</f>
        <v/>
      </c>
      <c r="AE11" s="67" t="str">
        <f>IF(AND('Mapa final'!$Y$43="Muy Alta",'Mapa final'!$AA$43="Mayor"),CONCATENATE("R6C",'Mapa final'!$O$43),"")</f>
        <v/>
      </c>
      <c r="AF11" s="67" t="str">
        <f>IF(AND('Mapa final'!$Y$44="Muy Alta",'Mapa final'!$AA$44="Mayor"),CONCATENATE("R6C",'Mapa final'!$O$44),"")</f>
        <v/>
      </c>
      <c r="AG11" s="68" t="str">
        <f>IF(AND('Mapa final'!$Y$45="Muy Alta",'Mapa final'!$AA$45="Mayor"),CONCATENATE("R6C",'Mapa final'!$O$45),"")</f>
        <v/>
      </c>
      <c r="AH11" s="69" t="str">
        <f>IF(AND('Mapa final'!$Y$40="Muy Alta",'Mapa final'!$AA$40="Catastrófico"),CONCATENATE("R6C",'Mapa final'!$O$40),"")</f>
        <v/>
      </c>
      <c r="AI11" s="70" t="str">
        <f>IF(AND('Mapa final'!$Y$41="Muy Alta",'Mapa final'!$AA$41="Catastrófico"),CONCATENATE("R6C",'Mapa final'!$O$41),"")</f>
        <v/>
      </c>
      <c r="AJ11" s="70" t="str">
        <f>IF(AND('Mapa final'!$Y$42="Muy Alta",'Mapa final'!$AA$42="Catastrófico"),CONCATENATE("R6C",'Mapa final'!$O$42),"")</f>
        <v/>
      </c>
      <c r="AK11" s="70" t="str">
        <f>IF(AND('Mapa final'!$Y$43="Muy Alta",'Mapa final'!$AA$43="Catastrófico"),CONCATENATE("R6C",'Mapa final'!$O$43),"")</f>
        <v/>
      </c>
      <c r="AL11" s="70" t="str">
        <f>IF(AND('Mapa final'!$Y$44="Muy Alta",'Mapa final'!$AA$44="Catastrófico"),CONCATENATE("R6C",'Mapa final'!$O$44),"")</f>
        <v/>
      </c>
      <c r="AM11" s="71" t="str">
        <f>IF(AND('Mapa final'!$Y$45="Muy Alta",'Mapa final'!$AA$45="Catastrófico"),CONCATENATE("R6C",'Mapa final'!$O$45),"")</f>
        <v/>
      </c>
      <c r="AN11" s="97"/>
      <c r="AO11" s="351"/>
      <c r="AP11" s="352"/>
      <c r="AQ11" s="352"/>
      <c r="AR11" s="352"/>
      <c r="AS11" s="352"/>
      <c r="AT11" s="353"/>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x14ac:dyDescent="0.25">
      <c r="A12" s="97"/>
      <c r="B12" s="246"/>
      <c r="C12" s="246"/>
      <c r="D12" s="247"/>
      <c r="E12" s="345"/>
      <c r="F12" s="344"/>
      <c r="G12" s="344"/>
      <c r="H12" s="344"/>
      <c r="I12" s="360"/>
      <c r="J12" s="66" t="str">
        <f>IF(AND('Mapa final'!$Y$46="Muy Alta",'Mapa final'!$AA$46="Leve"),CONCATENATE("R7C",'Mapa final'!$O$46),"")</f>
        <v/>
      </c>
      <c r="K12" s="67" t="str">
        <f>IF(AND('Mapa final'!$Y$47="Muy Alta",'Mapa final'!$AA$47="Leve"),CONCATENATE("R7C",'Mapa final'!$O$47),"")</f>
        <v/>
      </c>
      <c r="L12" s="67" t="str">
        <f>IF(AND('Mapa final'!$Y$48="Muy Alta",'Mapa final'!$AA$48="Leve"),CONCATENATE("R7C",'Mapa final'!$O$48),"")</f>
        <v/>
      </c>
      <c r="M12" s="67" t="str">
        <f>IF(AND('Mapa final'!$Y$49="Muy Alta",'Mapa final'!$AA$49="Leve"),CONCATENATE("R7C",'Mapa final'!$O$49),"")</f>
        <v/>
      </c>
      <c r="N12" s="67" t="str">
        <f>IF(AND('Mapa final'!$Y$50="Muy Alta",'Mapa final'!$AA$50="Leve"),CONCATENATE("R7C",'Mapa final'!$O$50),"")</f>
        <v/>
      </c>
      <c r="O12" s="68" t="str">
        <f>IF(AND('Mapa final'!$Y$51="Muy Alta",'Mapa final'!$AA$51="Leve"),CONCATENATE("R7C",'Mapa final'!$O$51),"")</f>
        <v/>
      </c>
      <c r="P12" s="66" t="str">
        <f>IF(AND('Mapa final'!$Y$46="Muy Alta",'Mapa final'!$AA$46="Menor"),CONCATENATE("R7C",'Mapa final'!$O$46),"")</f>
        <v/>
      </c>
      <c r="Q12" s="67" t="str">
        <f>IF(AND('Mapa final'!$Y$47="Muy Alta",'Mapa final'!$AA$47="Menor"),CONCATENATE("R7C",'Mapa final'!$O$47),"")</f>
        <v/>
      </c>
      <c r="R12" s="67" t="str">
        <f>IF(AND('Mapa final'!$Y$48="Muy Alta",'Mapa final'!$AA$48="Menor"),CONCATENATE("R7C",'Mapa final'!$O$48),"")</f>
        <v/>
      </c>
      <c r="S12" s="67" t="str">
        <f>IF(AND('Mapa final'!$Y$49="Muy Alta",'Mapa final'!$AA$49="Menor"),CONCATENATE("R7C",'Mapa final'!$O$49),"")</f>
        <v/>
      </c>
      <c r="T12" s="67" t="str">
        <f>IF(AND('Mapa final'!$Y$50="Muy Alta",'Mapa final'!$AA$50="Menor"),CONCATENATE("R7C",'Mapa final'!$O$50),"")</f>
        <v/>
      </c>
      <c r="U12" s="68" t="str">
        <f>IF(AND('Mapa final'!$Y$51="Muy Alta",'Mapa final'!$AA$51="Menor"),CONCATENATE("R7C",'Mapa final'!$O$51),"")</f>
        <v/>
      </c>
      <c r="V12" s="66" t="str">
        <f>IF(AND('Mapa final'!$Y$46="Muy Alta",'Mapa final'!$AA$46="Moderado"),CONCATENATE("R7C",'Mapa final'!$O$46),"")</f>
        <v/>
      </c>
      <c r="W12" s="67" t="str">
        <f>IF(AND('Mapa final'!$Y$47="Muy Alta",'Mapa final'!$AA$47="Moderado"),CONCATENATE("R7C",'Mapa final'!$O$47),"")</f>
        <v/>
      </c>
      <c r="X12" s="67" t="str">
        <f>IF(AND('Mapa final'!$Y$48="Muy Alta",'Mapa final'!$AA$48="Moderado"),CONCATENATE("R7C",'Mapa final'!$O$48),"")</f>
        <v/>
      </c>
      <c r="Y12" s="67" t="str">
        <f>IF(AND('Mapa final'!$Y$49="Muy Alta",'Mapa final'!$AA$49="Moderado"),CONCATENATE("R7C",'Mapa final'!$O$49),"")</f>
        <v/>
      </c>
      <c r="Z12" s="67" t="str">
        <f>IF(AND('Mapa final'!$Y$50="Muy Alta",'Mapa final'!$AA$50="Moderado"),CONCATENATE("R7C",'Mapa final'!$O$50),"")</f>
        <v/>
      </c>
      <c r="AA12" s="68" t="str">
        <f>IF(AND('Mapa final'!$Y$51="Muy Alta",'Mapa final'!$AA$51="Moderado"),CONCATENATE("R7C",'Mapa final'!$O$51),"")</f>
        <v/>
      </c>
      <c r="AB12" s="66" t="str">
        <f>IF(AND('Mapa final'!$Y$46="Muy Alta",'Mapa final'!$AA$46="Mayor"),CONCATENATE("R7C",'Mapa final'!$O$46),"")</f>
        <v/>
      </c>
      <c r="AC12" s="67" t="str">
        <f>IF(AND('Mapa final'!$Y$47="Muy Alta",'Mapa final'!$AA$47="Mayor"),CONCATENATE("R7C",'Mapa final'!$O$47),"")</f>
        <v/>
      </c>
      <c r="AD12" s="67" t="str">
        <f>IF(AND('Mapa final'!$Y$48="Muy Alta",'Mapa final'!$AA$48="Mayor"),CONCATENATE("R7C",'Mapa final'!$O$48),"")</f>
        <v/>
      </c>
      <c r="AE12" s="67" t="str">
        <f>IF(AND('Mapa final'!$Y$49="Muy Alta",'Mapa final'!$AA$49="Mayor"),CONCATENATE("R7C",'Mapa final'!$O$49),"")</f>
        <v/>
      </c>
      <c r="AF12" s="67" t="str">
        <f>IF(AND('Mapa final'!$Y$50="Muy Alta",'Mapa final'!$AA$50="Mayor"),CONCATENATE("R7C",'Mapa final'!$O$50),"")</f>
        <v/>
      </c>
      <c r="AG12" s="68" t="str">
        <f>IF(AND('Mapa final'!$Y$51="Muy Alta",'Mapa final'!$AA$51="Mayor"),CONCATENATE("R7C",'Mapa final'!$O$51),"")</f>
        <v/>
      </c>
      <c r="AH12" s="69" t="str">
        <f>IF(AND('Mapa final'!$Y$46="Muy Alta",'Mapa final'!$AA$46="Catastrófico"),CONCATENATE("R7C",'Mapa final'!$O$46),"")</f>
        <v/>
      </c>
      <c r="AI12" s="70" t="str">
        <f>IF(AND('Mapa final'!$Y$47="Muy Alta",'Mapa final'!$AA$47="Catastrófico"),CONCATENATE("R7C",'Mapa final'!$O$47),"")</f>
        <v/>
      </c>
      <c r="AJ12" s="70" t="str">
        <f>IF(AND('Mapa final'!$Y$48="Muy Alta",'Mapa final'!$AA$48="Catastrófico"),CONCATENATE("R7C",'Mapa final'!$O$48),"")</f>
        <v/>
      </c>
      <c r="AK12" s="70" t="str">
        <f>IF(AND('Mapa final'!$Y$49="Muy Alta",'Mapa final'!$AA$49="Catastrófico"),CONCATENATE("R7C",'Mapa final'!$O$49),"")</f>
        <v/>
      </c>
      <c r="AL12" s="70" t="str">
        <f>IF(AND('Mapa final'!$Y$50="Muy Alta",'Mapa final'!$AA$50="Catastrófico"),CONCATENATE("R7C",'Mapa final'!$O$50),"")</f>
        <v/>
      </c>
      <c r="AM12" s="71" t="str">
        <f>IF(AND('Mapa final'!$Y$51="Muy Alta",'Mapa final'!$AA$51="Catastrófico"),CONCATENATE("R7C",'Mapa final'!$O$51),"")</f>
        <v/>
      </c>
      <c r="AN12" s="97"/>
      <c r="AO12" s="351"/>
      <c r="AP12" s="352"/>
      <c r="AQ12" s="352"/>
      <c r="AR12" s="352"/>
      <c r="AS12" s="352"/>
      <c r="AT12" s="353"/>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x14ac:dyDescent="0.25">
      <c r="A13" s="97"/>
      <c r="B13" s="246"/>
      <c r="C13" s="246"/>
      <c r="D13" s="247"/>
      <c r="E13" s="345"/>
      <c r="F13" s="344"/>
      <c r="G13" s="344"/>
      <c r="H13" s="344"/>
      <c r="I13" s="360"/>
      <c r="J13" s="66" t="str">
        <f>IF(AND('Mapa final'!$Y$52="Muy Alta",'Mapa final'!$AA$52="Leve"),CONCATENATE("R8C",'Mapa final'!$O$52),"")</f>
        <v/>
      </c>
      <c r="K13" s="67" t="str">
        <f>IF(AND('Mapa final'!$Y$53="Muy Alta",'Mapa final'!$AA$53="Leve"),CONCATENATE("R8C",'Mapa final'!$O$53),"")</f>
        <v/>
      </c>
      <c r="L13" s="67" t="str">
        <f>IF(AND('Mapa final'!$Y$54="Muy Alta",'Mapa final'!$AA$54="Leve"),CONCATENATE("R8C",'Mapa final'!$O$54),"")</f>
        <v/>
      </c>
      <c r="M13" s="67" t="str">
        <f>IF(AND('Mapa final'!$Y$55="Muy Alta",'Mapa final'!$AA$55="Leve"),CONCATENATE("R8C",'Mapa final'!$O$55),"")</f>
        <v/>
      </c>
      <c r="N13" s="67" t="str">
        <f>IF(AND('Mapa final'!$Y$56="Muy Alta",'Mapa final'!$AA$56="Leve"),CONCATENATE("R8C",'Mapa final'!$O$56),"")</f>
        <v/>
      </c>
      <c r="O13" s="68" t="str">
        <f>IF(AND('Mapa final'!$Y$57="Muy Alta",'Mapa final'!$AA$57="Leve"),CONCATENATE("R8C",'Mapa final'!$O$57),"")</f>
        <v/>
      </c>
      <c r="P13" s="66" t="str">
        <f>IF(AND('Mapa final'!$Y$52="Muy Alta",'Mapa final'!$AA$52="Menor"),CONCATENATE("R8C",'Mapa final'!$O$52),"")</f>
        <v/>
      </c>
      <c r="Q13" s="67" t="str">
        <f>IF(AND('Mapa final'!$Y$53="Muy Alta",'Mapa final'!$AA$53="Menor"),CONCATENATE("R8C",'Mapa final'!$O$53),"")</f>
        <v/>
      </c>
      <c r="R13" s="67" t="str">
        <f>IF(AND('Mapa final'!$Y$54="Muy Alta",'Mapa final'!$AA$54="Menor"),CONCATENATE("R8C",'Mapa final'!$O$54),"")</f>
        <v/>
      </c>
      <c r="S13" s="67" t="str">
        <f>IF(AND('Mapa final'!$Y$55="Muy Alta",'Mapa final'!$AA$55="Menor"),CONCATENATE("R8C",'Mapa final'!$O$55),"")</f>
        <v/>
      </c>
      <c r="T13" s="67" t="str">
        <f>IF(AND('Mapa final'!$Y$56="Muy Alta",'Mapa final'!$AA$56="Menor"),CONCATENATE("R8C",'Mapa final'!$O$56),"")</f>
        <v/>
      </c>
      <c r="U13" s="68" t="str">
        <f>IF(AND('Mapa final'!$Y$57="Muy Alta",'Mapa final'!$AA$57="Menor"),CONCATENATE("R8C",'Mapa final'!$O$57),"")</f>
        <v/>
      </c>
      <c r="V13" s="66" t="str">
        <f>IF(AND('Mapa final'!$Y$52="Muy Alta",'Mapa final'!$AA$52="Moderado"),CONCATENATE("R8C",'Mapa final'!$O$52),"")</f>
        <v/>
      </c>
      <c r="W13" s="67" t="str">
        <f>IF(AND('Mapa final'!$Y$53="Muy Alta",'Mapa final'!$AA$53="Moderado"),CONCATENATE("R8C",'Mapa final'!$O$53),"")</f>
        <v/>
      </c>
      <c r="X13" s="67" t="str">
        <f>IF(AND('Mapa final'!$Y$54="Muy Alta",'Mapa final'!$AA$54="Moderado"),CONCATENATE("R8C",'Mapa final'!$O$54),"")</f>
        <v/>
      </c>
      <c r="Y13" s="67" t="str">
        <f>IF(AND('Mapa final'!$Y$55="Muy Alta",'Mapa final'!$AA$55="Moderado"),CONCATENATE("R8C",'Mapa final'!$O$55),"")</f>
        <v/>
      </c>
      <c r="Z13" s="67" t="str">
        <f>IF(AND('Mapa final'!$Y$56="Muy Alta",'Mapa final'!$AA$56="Moderado"),CONCATENATE("R8C",'Mapa final'!$O$56),"")</f>
        <v/>
      </c>
      <c r="AA13" s="68" t="str">
        <f>IF(AND('Mapa final'!$Y$57="Muy Alta",'Mapa final'!$AA$57="Moderado"),CONCATENATE("R8C",'Mapa final'!$O$57),"")</f>
        <v/>
      </c>
      <c r="AB13" s="66" t="str">
        <f>IF(AND('Mapa final'!$Y$52="Muy Alta",'Mapa final'!$AA$52="Mayor"),CONCATENATE("R8C",'Mapa final'!$O$52),"")</f>
        <v/>
      </c>
      <c r="AC13" s="67" t="str">
        <f>IF(AND('Mapa final'!$Y$53="Muy Alta",'Mapa final'!$AA$53="Mayor"),CONCATENATE("R8C",'Mapa final'!$O$53),"")</f>
        <v/>
      </c>
      <c r="AD13" s="67" t="str">
        <f>IF(AND('Mapa final'!$Y$54="Muy Alta",'Mapa final'!$AA$54="Mayor"),CONCATENATE("R8C",'Mapa final'!$O$54),"")</f>
        <v/>
      </c>
      <c r="AE13" s="67" t="str">
        <f>IF(AND('Mapa final'!$Y$55="Muy Alta",'Mapa final'!$AA$55="Mayor"),CONCATENATE("R8C",'Mapa final'!$O$55),"")</f>
        <v/>
      </c>
      <c r="AF13" s="67" t="str">
        <f>IF(AND('Mapa final'!$Y$56="Muy Alta",'Mapa final'!$AA$56="Mayor"),CONCATENATE("R8C",'Mapa final'!$O$56),"")</f>
        <v/>
      </c>
      <c r="AG13" s="68" t="str">
        <f>IF(AND('Mapa final'!$Y$57="Muy Alta",'Mapa final'!$AA$57="Mayor"),CONCATENATE("R8C",'Mapa final'!$O$57),"")</f>
        <v/>
      </c>
      <c r="AH13" s="69" t="str">
        <f>IF(AND('Mapa final'!$Y$52="Muy Alta",'Mapa final'!$AA$52="Catastrófico"),CONCATENATE("R8C",'Mapa final'!$O$52),"")</f>
        <v/>
      </c>
      <c r="AI13" s="70" t="str">
        <f>IF(AND('Mapa final'!$Y$53="Muy Alta",'Mapa final'!$AA$53="Catastrófico"),CONCATENATE("R8C",'Mapa final'!$O$53),"")</f>
        <v/>
      </c>
      <c r="AJ13" s="70" t="str">
        <f>IF(AND('Mapa final'!$Y$54="Muy Alta",'Mapa final'!$AA$54="Catastrófico"),CONCATENATE("R8C",'Mapa final'!$O$54),"")</f>
        <v/>
      </c>
      <c r="AK13" s="70" t="str">
        <f>IF(AND('Mapa final'!$Y$55="Muy Alta",'Mapa final'!$AA$55="Catastrófico"),CONCATENATE("R8C",'Mapa final'!$O$55),"")</f>
        <v/>
      </c>
      <c r="AL13" s="70" t="str">
        <f>IF(AND('Mapa final'!$Y$56="Muy Alta",'Mapa final'!$AA$56="Catastrófico"),CONCATENATE("R8C",'Mapa final'!$O$56),"")</f>
        <v/>
      </c>
      <c r="AM13" s="71" t="str">
        <f>IF(AND('Mapa final'!$Y$57="Muy Alta",'Mapa final'!$AA$57="Catastrófico"),CONCATENATE("R8C",'Mapa final'!$O$57),"")</f>
        <v/>
      </c>
      <c r="AN13" s="97"/>
      <c r="AO13" s="351"/>
      <c r="AP13" s="352"/>
      <c r="AQ13" s="352"/>
      <c r="AR13" s="352"/>
      <c r="AS13" s="352"/>
      <c r="AT13" s="353"/>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x14ac:dyDescent="0.25">
      <c r="A14" s="97"/>
      <c r="B14" s="246"/>
      <c r="C14" s="246"/>
      <c r="D14" s="247"/>
      <c r="E14" s="345"/>
      <c r="F14" s="344"/>
      <c r="G14" s="344"/>
      <c r="H14" s="344"/>
      <c r="I14" s="360"/>
      <c r="J14" s="66" t="str">
        <f>IF(AND('Mapa final'!$Y$58="Muy Alta",'Mapa final'!$AA$58="Leve"),CONCATENATE("R9C",'Mapa final'!$O$58),"")</f>
        <v/>
      </c>
      <c r="K14" s="67" t="str">
        <f>IF(AND('Mapa final'!$Y$59="Muy Alta",'Mapa final'!$AA$59="Leve"),CONCATENATE("R9C",'Mapa final'!$O$59),"")</f>
        <v/>
      </c>
      <c r="L14" s="67" t="str">
        <f>IF(AND('Mapa final'!$Y$60="Muy Alta",'Mapa final'!$AA$60="Leve"),CONCATENATE("R9C",'Mapa final'!$O$60),"")</f>
        <v/>
      </c>
      <c r="M14" s="67" t="str">
        <f>IF(AND('Mapa final'!$Y$61="Muy Alta",'Mapa final'!$AA$61="Leve"),CONCATENATE("R9C",'Mapa final'!$O$61),"")</f>
        <v/>
      </c>
      <c r="N14" s="67" t="str">
        <f>IF(AND('Mapa final'!$Y$62="Muy Alta",'Mapa final'!$AA$62="Leve"),CONCATENATE("R9C",'Mapa final'!$O$62),"")</f>
        <v/>
      </c>
      <c r="O14" s="68" t="str">
        <f>IF(AND('Mapa final'!$Y$63="Muy Alta",'Mapa final'!$AA$63="Leve"),CONCATENATE("R9C",'Mapa final'!$O$63),"")</f>
        <v/>
      </c>
      <c r="P14" s="66" t="str">
        <f>IF(AND('Mapa final'!$Y$58="Muy Alta",'Mapa final'!$AA$58="Menor"),CONCATENATE("R9C",'Mapa final'!$O$58),"")</f>
        <v/>
      </c>
      <c r="Q14" s="67" t="str">
        <f>IF(AND('Mapa final'!$Y$59="Muy Alta",'Mapa final'!$AA$59="Menor"),CONCATENATE("R9C",'Mapa final'!$O$59),"")</f>
        <v/>
      </c>
      <c r="R14" s="67" t="str">
        <f>IF(AND('Mapa final'!$Y$60="Muy Alta",'Mapa final'!$AA$60="Menor"),CONCATENATE("R9C",'Mapa final'!$O$60),"")</f>
        <v/>
      </c>
      <c r="S14" s="67" t="str">
        <f>IF(AND('Mapa final'!$Y$61="Muy Alta",'Mapa final'!$AA$61="Menor"),CONCATENATE("R9C",'Mapa final'!$O$61),"")</f>
        <v/>
      </c>
      <c r="T14" s="67" t="str">
        <f>IF(AND('Mapa final'!$Y$62="Muy Alta",'Mapa final'!$AA$62="Menor"),CONCATENATE("R9C",'Mapa final'!$O$62),"")</f>
        <v/>
      </c>
      <c r="U14" s="68" t="str">
        <f>IF(AND('Mapa final'!$Y$63="Muy Alta",'Mapa final'!$AA$63="Menor"),CONCATENATE("R9C",'Mapa final'!$O$63),"")</f>
        <v/>
      </c>
      <c r="V14" s="66" t="str">
        <f>IF(AND('Mapa final'!$Y$58="Muy Alta",'Mapa final'!$AA$58="Moderado"),CONCATENATE("R9C",'Mapa final'!$O$58),"")</f>
        <v/>
      </c>
      <c r="W14" s="67" t="str">
        <f>IF(AND('Mapa final'!$Y$59="Muy Alta",'Mapa final'!$AA$59="Moderado"),CONCATENATE("R9C",'Mapa final'!$O$59),"")</f>
        <v/>
      </c>
      <c r="X14" s="67" t="str">
        <f>IF(AND('Mapa final'!$Y$60="Muy Alta",'Mapa final'!$AA$60="Moderado"),CONCATENATE("R9C",'Mapa final'!$O$60),"")</f>
        <v/>
      </c>
      <c r="Y14" s="67" t="str">
        <f>IF(AND('Mapa final'!$Y$61="Muy Alta",'Mapa final'!$AA$61="Moderado"),CONCATENATE("R9C",'Mapa final'!$O$61),"")</f>
        <v/>
      </c>
      <c r="Z14" s="67" t="str">
        <f>IF(AND('Mapa final'!$Y$62="Muy Alta",'Mapa final'!$AA$62="Moderado"),CONCATENATE("R9C",'Mapa final'!$O$62),"")</f>
        <v/>
      </c>
      <c r="AA14" s="68" t="str">
        <f>IF(AND('Mapa final'!$Y$63="Muy Alta",'Mapa final'!$AA$63="Moderado"),CONCATENATE("R9C",'Mapa final'!$O$63),"")</f>
        <v/>
      </c>
      <c r="AB14" s="66" t="str">
        <f>IF(AND('Mapa final'!$Y$58="Muy Alta",'Mapa final'!$AA$58="Mayor"),CONCATENATE("R9C",'Mapa final'!$O$58),"")</f>
        <v/>
      </c>
      <c r="AC14" s="67" t="str">
        <f>IF(AND('Mapa final'!$Y$59="Muy Alta",'Mapa final'!$AA$59="Mayor"),CONCATENATE("R9C",'Mapa final'!$O$59),"")</f>
        <v/>
      </c>
      <c r="AD14" s="67" t="str">
        <f>IF(AND('Mapa final'!$Y$60="Muy Alta",'Mapa final'!$AA$60="Mayor"),CONCATENATE("R9C",'Mapa final'!$O$60),"")</f>
        <v/>
      </c>
      <c r="AE14" s="67" t="str">
        <f>IF(AND('Mapa final'!$Y$61="Muy Alta",'Mapa final'!$AA$61="Mayor"),CONCATENATE("R9C",'Mapa final'!$O$61),"")</f>
        <v/>
      </c>
      <c r="AF14" s="67" t="str">
        <f>IF(AND('Mapa final'!$Y$62="Muy Alta",'Mapa final'!$AA$62="Mayor"),CONCATENATE("R9C",'Mapa final'!$O$62),"")</f>
        <v/>
      </c>
      <c r="AG14" s="68" t="str">
        <f>IF(AND('Mapa final'!$Y$63="Muy Alta",'Mapa final'!$AA$63="Mayor"),CONCATENATE("R9C",'Mapa final'!$O$63),"")</f>
        <v/>
      </c>
      <c r="AH14" s="69" t="str">
        <f>IF(AND('Mapa final'!$Y$58="Muy Alta",'Mapa final'!$AA$58="Catastrófico"),CONCATENATE("R9C",'Mapa final'!$O$58),"")</f>
        <v/>
      </c>
      <c r="AI14" s="70" t="str">
        <f>IF(AND('Mapa final'!$Y$59="Muy Alta",'Mapa final'!$AA$59="Catastrófico"),CONCATENATE("R9C",'Mapa final'!$O$59),"")</f>
        <v/>
      </c>
      <c r="AJ14" s="70" t="str">
        <f>IF(AND('Mapa final'!$Y$60="Muy Alta",'Mapa final'!$AA$60="Catastrófico"),CONCATENATE("R9C",'Mapa final'!$O$60),"")</f>
        <v/>
      </c>
      <c r="AK14" s="70" t="str">
        <f>IF(AND('Mapa final'!$Y$61="Muy Alta",'Mapa final'!$AA$61="Catastrófico"),CONCATENATE("R9C",'Mapa final'!$O$61),"")</f>
        <v/>
      </c>
      <c r="AL14" s="70" t="str">
        <f>IF(AND('Mapa final'!$Y$62="Muy Alta",'Mapa final'!$AA$62="Catastrófico"),CONCATENATE("R9C",'Mapa final'!$O$62),"")</f>
        <v/>
      </c>
      <c r="AM14" s="71" t="str">
        <f>IF(AND('Mapa final'!$Y$63="Muy Alta",'Mapa final'!$AA$63="Catastrófico"),CONCATENATE("R9C",'Mapa final'!$O$63),"")</f>
        <v/>
      </c>
      <c r="AN14" s="97"/>
      <c r="AO14" s="351"/>
      <c r="AP14" s="352"/>
      <c r="AQ14" s="352"/>
      <c r="AR14" s="352"/>
      <c r="AS14" s="352"/>
      <c r="AT14" s="353"/>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x14ac:dyDescent="0.3">
      <c r="A15" s="97"/>
      <c r="B15" s="246"/>
      <c r="C15" s="246"/>
      <c r="D15" s="247"/>
      <c r="E15" s="346"/>
      <c r="F15" s="347"/>
      <c r="G15" s="347"/>
      <c r="H15" s="347"/>
      <c r="I15" s="361"/>
      <c r="J15" s="72" t="str">
        <f>IF(AND('Mapa final'!$Y$64="Muy Alta",'Mapa final'!$AA$64="Leve"),CONCATENATE("R10C",'Mapa final'!$O$64),"")</f>
        <v/>
      </c>
      <c r="K15" s="73" t="str">
        <f>IF(AND('Mapa final'!$Y$65="Muy Alta",'Mapa final'!$AA$65="Leve"),CONCATENATE("R10C",'Mapa final'!$O$65),"")</f>
        <v/>
      </c>
      <c r="L15" s="73" t="str">
        <f>IF(AND('Mapa final'!$Y$66="Muy Alta",'Mapa final'!$AA$66="Leve"),CONCATENATE("R10C",'Mapa final'!$O$66),"")</f>
        <v/>
      </c>
      <c r="M15" s="73" t="str">
        <f>IF(AND('Mapa final'!$Y$67="Muy Alta",'Mapa final'!$AA$67="Leve"),CONCATENATE("R10C",'Mapa final'!$O$67),"")</f>
        <v/>
      </c>
      <c r="N15" s="73" t="str">
        <f>IF(AND('Mapa final'!$Y$68="Muy Alta",'Mapa final'!$AA$68="Leve"),CONCATENATE("R10C",'Mapa final'!$O$68),"")</f>
        <v/>
      </c>
      <c r="O15" s="74" t="str">
        <f>IF(AND('Mapa final'!$Y$69="Muy Alta",'Mapa final'!$AA$69="Leve"),CONCATENATE("R10C",'Mapa final'!$O$69),"")</f>
        <v/>
      </c>
      <c r="P15" s="66" t="str">
        <f>IF(AND('Mapa final'!$Y$64="Muy Alta",'Mapa final'!$AA$64="Menor"),CONCATENATE("R10C",'Mapa final'!$O$64),"")</f>
        <v/>
      </c>
      <c r="Q15" s="67" t="str">
        <f>IF(AND('Mapa final'!$Y$65="Muy Alta",'Mapa final'!$AA$65="Menor"),CONCATENATE("R10C",'Mapa final'!$O$65),"")</f>
        <v/>
      </c>
      <c r="R15" s="67" t="str">
        <f>IF(AND('Mapa final'!$Y$66="Muy Alta",'Mapa final'!$AA$66="Menor"),CONCATENATE("R10C",'Mapa final'!$O$66),"")</f>
        <v/>
      </c>
      <c r="S15" s="67" t="str">
        <f>IF(AND('Mapa final'!$Y$67="Muy Alta",'Mapa final'!$AA$67="Menor"),CONCATENATE("R10C",'Mapa final'!$O$67),"")</f>
        <v/>
      </c>
      <c r="T15" s="67" t="str">
        <f>IF(AND('Mapa final'!$Y$68="Muy Alta",'Mapa final'!$AA$68="Menor"),CONCATENATE("R10C",'Mapa final'!$O$68),"")</f>
        <v/>
      </c>
      <c r="U15" s="68" t="str">
        <f>IF(AND('Mapa final'!$Y$69="Muy Alta",'Mapa final'!$AA$69="Menor"),CONCATENATE("R10C",'Mapa final'!$O$69),"")</f>
        <v/>
      </c>
      <c r="V15" s="72" t="str">
        <f>IF(AND('Mapa final'!$Y$64="Muy Alta",'Mapa final'!$AA$64="Moderado"),CONCATENATE("R10C",'Mapa final'!$O$64),"")</f>
        <v/>
      </c>
      <c r="W15" s="73" t="str">
        <f>IF(AND('Mapa final'!$Y$65="Muy Alta",'Mapa final'!$AA$65="Moderado"),CONCATENATE("R10C",'Mapa final'!$O$65),"")</f>
        <v/>
      </c>
      <c r="X15" s="73" t="str">
        <f>IF(AND('Mapa final'!$Y$66="Muy Alta",'Mapa final'!$AA$66="Moderado"),CONCATENATE("R10C",'Mapa final'!$O$66),"")</f>
        <v/>
      </c>
      <c r="Y15" s="73" t="str">
        <f>IF(AND('Mapa final'!$Y$67="Muy Alta",'Mapa final'!$AA$67="Moderado"),CONCATENATE("R10C",'Mapa final'!$O$67),"")</f>
        <v/>
      </c>
      <c r="Z15" s="73" t="str">
        <f>IF(AND('Mapa final'!$Y$68="Muy Alta",'Mapa final'!$AA$68="Moderado"),CONCATENATE("R10C",'Mapa final'!$O$68),"")</f>
        <v/>
      </c>
      <c r="AA15" s="74" t="str">
        <f>IF(AND('Mapa final'!$Y$69="Muy Alta",'Mapa final'!$AA$69="Moderado"),CONCATENATE("R10C",'Mapa final'!$O$69),"")</f>
        <v/>
      </c>
      <c r="AB15" s="66" t="str">
        <f>IF(AND('Mapa final'!$Y$64="Muy Alta",'Mapa final'!$AA$64="Mayor"),CONCATENATE("R10C",'Mapa final'!$O$64),"")</f>
        <v/>
      </c>
      <c r="AC15" s="67" t="str">
        <f>IF(AND('Mapa final'!$Y$65="Muy Alta",'Mapa final'!$AA$65="Mayor"),CONCATENATE("R10C",'Mapa final'!$O$65),"")</f>
        <v/>
      </c>
      <c r="AD15" s="67" t="str">
        <f>IF(AND('Mapa final'!$Y$66="Muy Alta",'Mapa final'!$AA$66="Mayor"),CONCATENATE("R10C",'Mapa final'!$O$66),"")</f>
        <v/>
      </c>
      <c r="AE15" s="67" t="str">
        <f>IF(AND('Mapa final'!$Y$67="Muy Alta",'Mapa final'!$AA$67="Mayor"),CONCATENATE("R10C",'Mapa final'!$O$67),"")</f>
        <v/>
      </c>
      <c r="AF15" s="67" t="str">
        <f>IF(AND('Mapa final'!$Y$68="Muy Alta",'Mapa final'!$AA$68="Mayor"),CONCATENATE("R10C",'Mapa final'!$O$68),"")</f>
        <v/>
      </c>
      <c r="AG15" s="68" t="str">
        <f>IF(AND('Mapa final'!$Y$69="Muy Alta",'Mapa final'!$AA$69="Mayor"),CONCATENATE("R10C",'Mapa final'!$O$69),"")</f>
        <v/>
      </c>
      <c r="AH15" s="75" t="str">
        <f>IF(AND('Mapa final'!$Y$64="Muy Alta",'Mapa final'!$AA$64="Catastrófico"),CONCATENATE("R10C",'Mapa final'!$O$64),"")</f>
        <v/>
      </c>
      <c r="AI15" s="76" t="str">
        <f>IF(AND('Mapa final'!$Y$65="Muy Alta",'Mapa final'!$AA$65="Catastrófico"),CONCATENATE("R10C",'Mapa final'!$O$65),"")</f>
        <v/>
      </c>
      <c r="AJ15" s="76" t="str">
        <f>IF(AND('Mapa final'!$Y$66="Muy Alta",'Mapa final'!$AA$66="Catastrófico"),CONCATENATE("R10C",'Mapa final'!$O$66),"")</f>
        <v/>
      </c>
      <c r="AK15" s="76" t="str">
        <f>IF(AND('Mapa final'!$Y$67="Muy Alta",'Mapa final'!$AA$67="Catastrófico"),CONCATENATE("R10C",'Mapa final'!$O$67),"")</f>
        <v/>
      </c>
      <c r="AL15" s="76" t="str">
        <f>IF(AND('Mapa final'!$Y$68="Muy Alta",'Mapa final'!$AA$68="Catastrófico"),CONCATENATE("R10C",'Mapa final'!$O$68),"")</f>
        <v/>
      </c>
      <c r="AM15" s="77" t="str">
        <f>IF(AND('Mapa final'!$Y$69="Muy Alta",'Mapa final'!$AA$69="Catastrófico"),CONCATENATE("R10C",'Mapa final'!$O$69),"")</f>
        <v/>
      </c>
      <c r="AN15" s="97"/>
      <c r="AO15" s="354"/>
      <c r="AP15" s="355"/>
      <c r="AQ15" s="355"/>
      <c r="AR15" s="355"/>
      <c r="AS15" s="355"/>
      <c r="AT15" s="356"/>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x14ac:dyDescent="0.25">
      <c r="A16" s="97"/>
      <c r="B16" s="246"/>
      <c r="C16" s="246"/>
      <c r="D16" s="247"/>
      <c r="E16" s="341" t="s">
        <v>115</v>
      </c>
      <c r="F16" s="342"/>
      <c r="G16" s="342"/>
      <c r="H16" s="342"/>
      <c r="I16" s="342"/>
      <c r="J16" s="78" t="str">
        <f>IF(AND('Mapa final'!$Y$10="Alta",'Mapa final'!$AA$10="Leve"),CONCATENATE("R1C",'Mapa final'!$O$10),"")</f>
        <v/>
      </c>
      <c r="K16" s="79" t="str">
        <f>IF(AND('Mapa final'!$Y$11="Alta",'Mapa final'!$AA$11="Leve"),CONCATENATE("R1C",'Mapa final'!$O$11),"")</f>
        <v/>
      </c>
      <c r="L16" s="79" t="str">
        <f>IF(AND('Mapa final'!$Y$12="Alta",'Mapa final'!$AA$12="Leve"),CONCATENATE("R1C",'Mapa final'!$O$12),"")</f>
        <v/>
      </c>
      <c r="M16" s="79" t="str">
        <f>IF(AND('Mapa final'!$Y$13="Alta",'Mapa final'!$AA$13="Leve"),CONCATENATE("R1C",'Mapa final'!$O$13),"")</f>
        <v/>
      </c>
      <c r="N16" s="79" t="str">
        <f>IF(AND('Mapa final'!$Y$14="Alta",'Mapa final'!$AA$14="Leve"),CONCATENATE("R1C",'Mapa final'!$O$14),"")</f>
        <v/>
      </c>
      <c r="O16" s="80" t="str">
        <f>IF(AND('Mapa final'!$Y$15="Alta",'Mapa final'!$AA$15="Leve"),CONCATENATE("R1C",'Mapa final'!$O$15),"")</f>
        <v/>
      </c>
      <c r="P16" s="78" t="str">
        <f>IF(AND('Mapa final'!$Y$10="Alta",'Mapa final'!$AA$10="Menor"),CONCATENATE("R1C",'Mapa final'!$O$10),"")</f>
        <v/>
      </c>
      <c r="Q16" s="79" t="str">
        <f>IF(AND('Mapa final'!$Y$11="Alta",'Mapa final'!$AA$11="Menor"),CONCATENATE("R1C",'Mapa final'!$O$11),"")</f>
        <v/>
      </c>
      <c r="R16" s="79" t="str">
        <f>IF(AND('Mapa final'!$Y$12="Alta",'Mapa final'!$AA$12="Menor"),CONCATENATE("R1C",'Mapa final'!$O$12),"")</f>
        <v/>
      </c>
      <c r="S16" s="79" t="str">
        <f>IF(AND('Mapa final'!$Y$13="Alta",'Mapa final'!$AA$13="Menor"),CONCATENATE("R1C",'Mapa final'!$O$13),"")</f>
        <v/>
      </c>
      <c r="T16" s="79" t="str">
        <f>IF(AND('Mapa final'!$Y$14="Alta",'Mapa final'!$AA$14="Menor"),CONCATENATE("R1C",'Mapa final'!$O$14),"")</f>
        <v/>
      </c>
      <c r="U16" s="80" t="str">
        <f>IF(AND('Mapa final'!$Y$15="Alta",'Mapa final'!$AA$15="Menor"),CONCATENATE("R1C",'Mapa final'!$O$15),"")</f>
        <v/>
      </c>
      <c r="V16" s="60" t="str">
        <f>IF(AND('Mapa final'!$Y$10="Alta",'Mapa final'!$AA$10="Moderado"),CONCATENATE("R1C",'Mapa final'!$O$10),"")</f>
        <v/>
      </c>
      <c r="W16" s="61" t="str">
        <f>IF(AND('Mapa final'!$Y$11="Alta",'Mapa final'!$AA$11="Moderado"),CONCATENATE("R1C",'Mapa final'!$O$11),"")</f>
        <v/>
      </c>
      <c r="X16" s="61" t="str">
        <f>IF(AND('Mapa final'!$Y$12="Alta",'Mapa final'!$AA$12="Moderado"),CONCATENATE("R1C",'Mapa final'!$O$12),"")</f>
        <v/>
      </c>
      <c r="Y16" s="61" t="str">
        <f>IF(AND('Mapa final'!$Y$13="Alta",'Mapa final'!$AA$13="Moderado"),CONCATENATE("R1C",'Mapa final'!$O$13),"")</f>
        <v/>
      </c>
      <c r="Z16" s="61" t="str">
        <f>IF(AND('Mapa final'!$Y$14="Alta",'Mapa final'!$AA$14="Moderado"),CONCATENATE("R1C",'Mapa final'!$O$14),"")</f>
        <v/>
      </c>
      <c r="AA16" s="62" t="str">
        <f>IF(AND('Mapa final'!$Y$15="Alta",'Mapa final'!$AA$15="Moderado"),CONCATENATE("R1C",'Mapa final'!$O$15),"")</f>
        <v/>
      </c>
      <c r="AB16" s="60" t="str">
        <f>IF(AND('Mapa final'!$Y$10="Alta",'Mapa final'!$AA$10="Mayor"),CONCATENATE("R1C",'Mapa final'!$O$10),"")</f>
        <v/>
      </c>
      <c r="AC16" s="61" t="str">
        <f>IF(AND('Mapa final'!$Y$11="Alta",'Mapa final'!$AA$11="Mayor"),CONCATENATE("R1C",'Mapa final'!$O$11),"")</f>
        <v/>
      </c>
      <c r="AD16" s="61" t="str">
        <f>IF(AND('Mapa final'!$Y$12="Alta",'Mapa final'!$AA$12="Mayor"),CONCATENATE("R1C",'Mapa final'!$O$12),"")</f>
        <v/>
      </c>
      <c r="AE16" s="61" t="str">
        <f>IF(AND('Mapa final'!$Y$13="Alta",'Mapa final'!$AA$13="Mayor"),CONCATENATE("R1C",'Mapa final'!$O$13),"")</f>
        <v/>
      </c>
      <c r="AF16" s="61" t="str">
        <f>IF(AND('Mapa final'!$Y$14="Alta",'Mapa final'!$AA$14="Mayor"),CONCATENATE("R1C",'Mapa final'!$O$14),"")</f>
        <v/>
      </c>
      <c r="AG16" s="62" t="str">
        <f>IF(AND('Mapa final'!$Y$15="Alta",'Mapa final'!$AA$15="Mayor"),CONCATENATE("R1C",'Mapa final'!$O$15),"")</f>
        <v/>
      </c>
      <c r="AH16" s="63" t="str">
        <f>IF(AND('Mapa final'!$Y$10="Alta",'Mapa final'!$AA$10="Catastrófico"),CONCATENATE("R1C",'Mapa final'!$O$10),"")</f>
        <v/>
      </c>
      <c r="AI16" s="64" t="str">
        <f>IF(AND('Mapa final'!$Y$11="Alta",'Mapa final'!$AA$11="Catastrófico"),CONCATENATE("R1C",'Mapa final'!$O$11),"")</f>
        <v/>
      </c>
      <c r="AJ16" s="64" t="str">
        <f>IF(AND('Mapa final'!$Y$12="Alta",'Mapa final'!$AA$12="Catastrófico"),CONCATENATE("R1C",'Mapa final'!$O$12),"")</f>
        <v/>
      </c>
      <c r="AK16" s="64" t="str">
        <f>IF(AND('Mapa final'!$Y$13="Alta",'Mapa final'!$AA$13="Catastrófico"),CONCATENATE("R1C",'Mapa final'!$O$13),"")</f>
        <v/>
      </c>
      <c r="AL16" s="64" t="str">
        <f>IF(AND('Mapa final'!$Y$14="Alta",'Mapa final'!$AA$14="Catastrófico"),CONCATENATE("R1C",'Mapa final'!$O$14),"")</f>
        <v/>
      </c>
      <c r="AM16" s="65" t="str">
        <f>IF(AND('Mapa final'!$Y$15="Alta",'Mapa final'!$AA$15="Catastrófico"),CONCATENATE("R1C",'Mapa final'!$O$15),"")</f>
        <v/>
      </c>
      <c r="AN16" s="97"/>
      <c r="AO16" s="332" t="s">
        <v>80</v>
      </c>
      <c r="AP16" s="333"/>
      <c r="AQ16" s="333"/>
      <c r="AR16" s="333"/>
      <c r="AS16" s="333"/>
      <c r="AT16" s="334"/>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x14ac:dyDescent="0.25">
      <c r="A17" s="97"/>
      <c r="B17" s="246"/>
      <c r="C17" s="246"/>
      <c r="D17" s="247"/>
      <c r="E17" s="343"/>
      <c r="F17" s="344"/>
      <c r="G17" s="344"/>
      <c r="H17" s="344"/>
      <c r="I17" s="344"/>
      <c r="J17" s="81" t="str">
        <f>IF(AND('Mapa final'!$Y$16="Alta",'Mapa final'!$AA$16="Leve"),CONCATENATE("R2C",'Mapa final'!$O$16),"")</f>
        <v/>
      </c>
      <c r="K17" s="82" t="str">
        <f>IF(AND('Mapa final'!$Y$17="Alta",'Mapa final'!$AA$17="Leve"),CONCATENATE("R2C",'Mapa final'!$O$17),"")</f>
        <v/>
      </c>
      <c r="L17" s="82" t="str">
        <f>IF(AND('Mapa final'!$Y$18="Alta",'Mapa final'!$AA$18="Leve"),CONCATENATE("R2C",'Mapa final'!$O$18),"")</f>
        <v/>
      </c>
      <c r="M17" s="82" t="str">
        <f>IF(AND('Mapa final'!$Y$19="Alta",'Mapa final'!$AA$19="Leve"),CONCATENATE("R2C",'Mapa final'!$O$19),"")</f>
        <v/>
      </c>
      <c r="N17" s="82" t="str">
        <f>IF(AND('Mapa final'!$Y$20="Alta",'Mapa final'!$AA$20="Leve"),CONCATENATE("R2C",'Mapa final'!$O$20),"")</f>
        <v/>
      </c>
      <c r="O17" s="83" t="str">
        <f>IF(AND('Mapa final'!$Y$21="Alta",'Mapa final'!$AA$21="Leve"),CONCATENATE("R2C",'Mapa final'!$O$21),"")</f>
        <v/>
      </c>
      <c r="P17" s="81" t="str">
        <f>IF(AND('Mapa final'!$Y$16="Alta",'Mapa final'!$AA$16="Menor"),CONCATENATE("R2C",'Mapa final'!$O$16),"")</f>
        <v/>
      </c>
      <c r="Q17" s="82" t="str">
        <f>IF(AND('Mapa final'!$Y$17="Alta",'Mapa final'!$AA$17="Menor"),CONCATENATE("R2C",'Mapa final'!$O$17),"")</f>
        <v/>
      </c>
      <c r="R17" s="82" t="str">
        <f>IF(AND('Mapa final'!$Y$18="Alta",'Mapa final'!$AA$18="Menor"),CONCATENATE("R2C",'Mapa final'!$O$18),"")</f>
        <v/>
      </c>
      <c r="S17" s="82" t="str">
        <f>IF(AND('Mapa final'!$Y$19="Alta",'Mapa final'!$AA$19="Menor"),CONCATENATE("R2C",'Mapa final'!$O$19),"")</f>
        <v/>
      </c>
      <c r="T17" s="82" t="str">
        <f>IF(AND('Mapa final'!$Y$20="Alta",'Mapa final'!$AA$20="Menor"),CONCATENATE("R2C",'Mapa final'!$O$20),"")</f>
        <v/>
      </c>
      <c r="U17" s="83" t="str">
        <f>IF(AND('Mapa final'!$Y$21="Alta",'Mapa final'!$AA$21="Menor"),CONCATENATE("R2C",'Mapa final'!$O$21),"")</f>
        <v/>
      </c>
      <c r="V17" s="66" t="str">
        <f>IF(AND('Mapa final'!$Y$16="Alta",'Mapa final'!$AA$16="Moderado"),CONCATENATE("R2C",'Mapa final'!$O$16),"")</f>
        <v/>
      </c>
      <c r="W17" s="67" t="str">
        <f>IF(AND('Mapa final'!$Y$17="Alta",'Mapa final'!$AA$17="Moderado"),CONCATENATE("R2C",'Mapa final'!$O$17),"")</f>
        <v/>
      </c>
      <c r="X17" s="67" t="str">
        <f>IF(AND('Mapa final'!$Y$18="Alta",'Mapa final'!$AA$18="Moderado"),CONCATENATE("R2C",'Mapa final'!$O$18),"")</f>
        <v/>
      </c>
      <c r="Y17" s="67" t="str">
        <f>IF(AND('Mapa final'!$Y$19="Alta",'Mapa final'!$AA$19="Moderado"),CONCATENATE("R2C",'Mapa final'!$O$19),"")</f>
        <v/>
      </c>
      <c r="Z17" s="67" t="str">
        <f>IF(AND('Mapa final'!$Y$20="Alta",'Mapa final'!$AA$20="Moderado"),CONCATENATE("R2C",'Mapa final'!$O$20),"")</f>
        <v/>
      </c>
      <c r="AA17" s="68" t="str">
        <f>IF(AND('Mapa final'!$Y$21="Alta",'Mapa final'!$AA$21="Moderado"),CONCATENATE("R2C",'Mapa final'!$O$21),"")</f>
        <v/>
      </c>
      <c r="AB17" s="66" t="str">
        <f>IF(AND('Mapa final'!$Y$16="Alta",'Mapa final'!$AA$16="Mayor"),CONCATENATE("R2C",'Mapa final'!$O$16),"")</f>
        <v/>
      </c>
      <c r="AC17" s="67" t="str">
        <f>IF(AND('Mapa final'!$Y$17="Alta",'Mapa final'!$AA$17="Mayor"),CONCATENATE("R2C",'Mapa final'!$O$17),"")</f>
        <v/>
      </c>
      <c r="AD17" s="67" t="str">
        <f>IF(AND('Mapa final'!$Y$18="Alta",'Mapa final'!$AA$18="Mayor"),CONCATENATE("R2C",'Mapa final'!$O$18),"")</f>
        <v/>
      </c>
      <c r="AE17" s="67" t="str">
        <f>IF(AND('Mapa final'!$Y$19="Alta",'Mapa final'!$AA$19="Mayor"),CONCATENATE("R2C",'Mapa final'!$O$19),"")</f>
        <v/>
      </c>
      <c r="AF17" s="67" t="str">
        <f>IF(AND('Mapa final'!$Y$20="Alta",'Mapa final'!$AA$20="Mayor"),CONCATENATE("R2C",'Mapa final'!$O$20),"")</f>
        <v/>
      </c>
      <c r="AG17" s="68" t="str">
        <f>IF(AND('Mapa final'!$Y$21="Alta",'Mapa final'!$AA$21="Mayor"),CONCATENATE("R2C",'Mapa final'!$O$21),"")</f>
        <v/>
      </c>
      <c r="AH17" s="69" t="str">
        <f>IF(AND('Mapa final'!$Y$16="Alta",'Mapa final'!$AA$16="Catastrófico"),CONCATENATE("R2C",'Mapa final'!$O$16),"")</f>
        <v/>
      </c>
      <c r="AI17" s="70" t="str">
        <f>IF(AND('Mapa final'!$Y$17="Alta",'Mapa final'!$AA$17="Catastrófico"),CONCATENATE("R2C",'Mapa final'!$O$17),"")</f>
        <v/>
      </c>
      <c r="AJ17" s="70" t="str">
        <f>IF(AND('Mapa final'!$Y$18="Alta",'Mapa final'!$AA$18="Catastrófico"),CONCATENATE("R2C",'Mapa final'!$O$18),"")</f>
        <v/>
      </c>
      <c r="AK17" s="70" t="str">
        <f>IF(AND('Mapa final'!$Y$19="Alta",'Mapa final'!$AA$19="Catastrófico"),CONCATENATE("R2C",'Mapa final'!$O$19),"")</f>
        <v/>
      </c>
      <c r="AL17" s="70" t="str">
        <f>IF(AND('Mapa final'!$Y$20="Alta",'Mapa final'!$AA$20="Catastrófico"),CONCATENATE("R2C",'Mapa final'!$O$20),"")</f>
        <v/>
      </c>
      <c r="AM17" s="71" t="str">
        <f>IF(AND('Mapa final'!$Y$21="Alta",'Mapa final'!$AA$21="Catastrófico"),CONCATENATE("R2C",'Mapa final'!$O$21),"")</f>
        <v/>
      </c>
      <c r="AN17" s="97"/>
      <c r="AO17" s="335"/>
      <c r="AP17" s="336"/>
      <c r="AQ17" s="336"/>
      <c r="AR17" s="336"/>
      <c r="AS17" s="336"/>
      <c r="AT17" s="33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x14ac:dyDescent="0.25">
      <c r="A18" s="97"/>
      <c r="B18" s="246"/>
      <c r="C18" s="246"/>
      <c r="D18" s="247"/>
      <c r="E18" s="345"/>
      <c r="F18" s="344"/>
      <c r="G18" s="344"/>
      <c r="H18" s="344"/>
      <c r="I18" s="344"/>
      <c r="J18" s="81" t="str">
        <f>IF(AND('Mapa final'!$Y$22="Alta",'Mapa final'!$AA$22="Leve"),CONCATENATE("R3C",'Mapa final'!$O$22),"")</f>
        <v/>
      </c>
      <c r="K18" s="82" t="str">
        <f>IF(AND('Mapa final'!$Y$23="Alta",'Mapa final'!$AA$23="Leve"),CONCATENATE("R3C",'Mapa final'!$O$23),"")</f>
        <v/>
      </c>
      <c r="L18" s="82" t="str">
        <f>IF(AND('Mapa final'!$Y$24="Alta",'Mapa final'!$AA$24="Leve"),CONCATENATE("R3C",'Mapa final'!$O$24),"")</f>
        <v/>
      </c>
      <c r="M18" s="82" t="str">
        <f>IF(AND('Mapa final'!$Y$25="Alta",'Mapa final'!$AA$25="Leve"),CONCATENATE("R3C",'Mapa final'!$O$25),"")</f>
        <v/>
      </c>
      <c r="N18" s="82" t="str">
        <f>IF(AND('Mapa final'!$Y$26="Alta",'Mapa final'!$AA$26="Leve"),CONCATENATE("R3C",'Mapa final'!$O$26),"")</f>
        <v/>
      </c>
      <c r="O18" s="83" t="str">
        <f>IF(AND('Mapa final'!$Y$27="Alta",'Mapa final'!$AA$27="Leve"),CONCATENATE("R3C",'Mapa final'!$O$27),"")</f>
        <v/>
      </c>
      <c r="P18" s="81" t="str">
        <f>IF(AND('Mapa final'!$Y$22="Alta",'Mapa final'!$AA$22="Menor"),CONCATENATE("R3C",'Mapa final'!$O$22),"")</f>
        <v/>
      </c>
      <c r="Q18" s="82" t="str">
        <f>IF(AND('Mapa final'!$Y$23="Alta",'Mapa final'!$AA$23="Menor"),CONCATENATE("R3C",'Mapa final'!$O$23),"")</f>
        <v/>
      </c>
      <c r="R18" s="82" t="str">
        <f>IF(AND('Mapa final'!$Y$24="Alta",'Mapa final'!$AA$24="Menor"),CONCATENATE("R3C",'Mapa final'!$O$24),"")</f>
        <v/>
      </c>
      <c r="S18" s="82" t="str">
        <f>IF(AND('Mapa final'!$Y$25="Alta",'Mapa final'!$AA$25="Menor"),CONCATENATE("R3C",'Mapa final'!$O$25),"")</f>
        <v/>
      </c>
      <c r="T18" s="82" t="str">
        <f>IF(AND('Mapa final'!$Y$26="Alta",'Mapa final'!$AA$26="Menor"),CONCATENATE("R3C",'Mapa final'!$O$26),"")</f>
        <v/>
      </c>
      <c r="U18" s="83" t="str">
        <f>IF(AND('Mapa final'!$Y$27="Alta",'Mapa final'!$AA$27="Menor"),CONCATENATE("R3C",'Mapa final'!$O$27),"")</f>
        <v/>
      </c>
      <c r="V18" s="66" t="str">
        <f>IF(AND('Mapa final'!$Y$22="Alta",'Mapa final'!$AA$22="Moderado"),CONCATENATE("R3C",'Mapa final'!$O$22),"")</f>
        <v/>
      </c>
      <c r="W18" s="67" t="str">
        <f>IF(AND('Mapa final'!$Y$23="Alta",'Mapa final'!$AA$23="Moderado"),CONCATENATE("R3C",'Mapa final'!$O$23),"")</f>
        <v/>
      </c>
      <c r="X18" s="67" t="str">
        <f>IF(AND('Mapa final'!$Y$24="Alta",'Mapa final'!$AA$24="Moderado"),CONCATENATE("R3C",'Mapa final'!$O$24),"")</f>
        <v/>
      </c>
      <c r="Y18" s="67" t="str">
        <f>IF(AND('Mapa final'!$Y$25="Alta",'Mapa final'!$AA$25="Moderado"),CONCATENATE("R3C",'Mapa final'!$O$25),"")</f>
        <v/>
      </c>
      <c r="Z18" s="67" t="str">
        <f>IF(AND('Mapa final'!$Y$26="Alta",'Mapa final'!$AA$26="Moderado"),CONCATENATE("R3C",'Mapa final'!$O$26),"")</f>
        <v/>
      </c>
      <c r="AA18" s="68" t="str">
        <f>IF(AND('Mapa final'!$Y$27="Alta",'Mapa final'!$AA$27="Moderado"),CONCATENATE("R3C",'Mapa final'!$O$27),"")</f>
        <v/>
      </c>
      <c r="AB18" s="66" t="str">
        <f>IF(AND('Mapa final'!$Y$22="Alta",'Mapa final'!$AA$22="Mayor"),CONCATENATE("R3C",'Mapa final'!$O$22),"")</f>
        <v/>
      </c>
      <c r="AC18" s="67" t="str">
        <f>IF(AND('Mapa final'!$Y$23="Alta",'Mapa final'!$AA$23="Mayor"),CONCATENATE("R3C",'Mapa final'!$O$23),"")</f>
        <v/>
      </c>
      <c r="AD18" s="67" t="str">
        <f>IF(AND('Mapa final'!$Y$24="Alta",'Mapa final'!$AA$24="Mayor"),CONCATENATE("R3C",'Mapa final'!$O$24),"")</f>
        <v/>
      </c>
      <c r="AE18" s="67" t="str">
        <f>IF(AND('Mapa final'!$Y$25="Alta",'Mapa final'!$AA$25="Mayor"),CONCATENATE("R3C",'Mapa final'!$O$25),"")</f>
        <v/>
      </c>
      <c r="AF18" s="67" t="str">
        <f>IF(AND('Mapa final'!$Y$26="Alta",'Mapa final'!$AA$26="Mayor"),CONCATENATE("R3C",'Mapa final'!$O$26),"")</f>
        <v/>
      </c>
      <c r="AG18" s="68" t="str">
        <f>IF(AND('Mapa final'!$Y$27="Alta",'Mapa final'!$AA$27="Mayor"),CONCATENATE("R3C",'Mapa final'!$O$27),"")</f>
        <v/>
      </c>
      <c r="AH18" s="69" t="str">
        <f>IF(AND('Mapa final'!$Y$22="Alta",'Mapa final'!$AA$22="Catastrófico"),CONCATENATE("R3C",'Mapa final'!$O$22),"")</f>
        <v/>
      </c>
      <c r="AI18" s="70" t="str">
        <f>IF(AND('Mapa final'!$Y$23="Alta",'Mapa final'!$AA$23="Catastrófico"),CONCATENATE("R3C",'Mapa final'!$O$23),"")</f>
        <v/>
      </c>
      <c r="AJ18" s="70" t="str">
        <f>IF(AND('Mapa final'!$Y$24="Alta",'Mapa final'!$AA$24="Catastrófico"),CONCATENATE("R3C",'Mapa final'!$O$24),"")</f>
        <v/>
      </c>
      <c r="AK18" s="70" t="str">
        <f>IF(AND('Mapa final'!$Y$25="Alta",'Mapa final'!$AA$25="Catastrófico"),CONCATENATE("R3C",'Mapa final'!$O$25),"")</f>
        <v/>
      </c>
      <c r="AL18" s="70" t="str">
        <f>IF(AND('Mapa final'!$Y$26="Alta",'Mapa final'!$AA$26="Catastrófico"),CONCATENATE("R3C",'Mapa final'!$O$26),"")</f>
        <v/>
      </c>
      <c r="AM18" s="71" t="str">
        <f>IF(AND('Mapa final'!$Y$27="Alta",'Mapa final'!$AA$27="Catastrófico"),CONCATENATE("R3C",'Mapa final'!$O$27),"")</f>
        <v/>
      </c>
      <c r="AN18" s="97"/>
      <c r="AO18" s="335"/>
      <c r="AP18" s="336"/>
      <c r="AQ18" s="336"/>
      <c r="AR18" s="336"/>
      <c r="AS18" s="336"/>
      <c r="AT18" s="33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x14ac:dyDescent="0.25">
      <c r="A19" s="97"/>
      <c r="B19" s="246"/>
      <c r="C19" s="246"/>
      <c r="D19" s="247"/>
      <c r="E19" s="345"/>
      <c r="F19" s="344"/>
      <c r="G19" s="344"/>
      <c r="H19" s="344"/>
      <c r="I19" s="344"/>
      <c r="J19" s="81" t="str">
        <f>IF(AND('Mapa final'!$Y$28="Alta",'Mapa final'!$AA$28="Leve"),CONCATENATE("R4C",'Mapa final'!$O$28),"")</f>
        <v/>
      </c>
      <c r="K19" s="82" t="str">
        <f>IF(AND('Mapa final'!$Y$29="Alta",'Mapa final'!$AA$29="Leve"),CONCATENATE("R4C",'Mapa final'!$O$29),"")</f>
        <v/>
      </c>
      <c r="L19" s="82" t="str">
        <f>IF(AND('Mapa final'!$Y$30="Alta",'Mapa final'!$AA$30="Leve"),CONCATENATE("R4C",'Mapa final'!$O$30),"")</f>
        <v/>
      </c>
      <c r="M19" s="82" t="str">
        <f>IF(AND('Mapa final'!$Y$31="Alta",'Mapa final'!$AA$31="Leve"),CONCATENATE("R4C",'Mapa final'!$O$31),"")</f>
        <v/>
      </c>
      <c r="N19" s="82" t="str">
        <f>IF(AND('Mapa final'!$Y$32="Alta",'Mapa final'!$AA$32="Leve"),CONCATENATE("R4C",'Mapa final'!$O$32),"")</f>
        <v/>
      </c>
      <c r="O19" s="83" t="str">
        <f>IF(AND('Mapa final'!$Y$33="Alta",'Mapa final'!$AA$33="Leve"),CONCATENATE("R4C",'Mapa final'!$O$33),"")</f>
        <v/>
      </c>
      <c r="P19" s="81" t="str">
        <f>IF(AND('Mapa final'!$Y$28="Alta",'Mapa final'!$AA$28="Menor"),CONCATENATE("R4C",'Mapa final'!$O$28),"")</f>
        <v/>
      </c>
      <c r="Q19" s="82" t="str">
        <f>IF(AND('Mapa final'!$Y$29="Alta",'Mapa final'!$AA$29="Menor"),CONCATENATE("R4C",'Mapa final'!$O$29),"")</f>
        <v/>
      </c>
      <c r="R19" s="82" t="str">
        <f>IF(AND('Mapa final'!$Y$30="Alta",'Mapa final'!$AA$30="Menor"),CONCATENATE("R4C",'Mapa final'!$O$30),"")</f>
        <v/>
      </c>
      <c r="S19" s="82" t="str">
        <f>IF(AND('Mapa final'!$Y$31="Alta",'Mapa final'!$AA$31="Menor"),CONCATENATE("R4C",'Mapa final'!$O$31),"")</f>
        <v/>
      </c>
      <c r="T19" s="82" t="str">
        <f>IF(AND('Mapa final'!$Y$32="Alta",'Mapa final'!$AA$32="Menor"),CONCATENATE("R4C",'Mapa final'!$O$32),"")</f>
        <v/>
      </c>
      <c r="U19" s="83" t="str">
        <f>IF(AND('Mapa final'!$Y$33="Alta",'Mapa final'!$AA$33="Menor"),CONCATENATE("R4C",'Mapa final'!$O$33),"")</f>
        <v/>
      </c>
      <c r="V19" s="66" t="str">
        <f>IF(AND('Mapa final'!$Y$28="Alta",'Mapa final'!$AA$28="Moderado"),CONCATENATE("R4C",'Mapa final'!$O$28),"")</f>
        <v/>
      </c>
      <c r="W19" s="67" t="str">
        <f>IF(AND('Mapa final'!$Y$29="Alta",'Mapa final'!$AA$29="Moderado"),CONCATENATE("R4C",'Mapa final'!$O$29),"")</f>
        <v/>
      </c>
      <c r="X19" s="67" t="str">
        <f>IF(AND('Mapa final'!$Y$30="Alta",'Mapa final'!$AA$30="Moderado"),CONCATENATE("R4C",'Mapa final'!$O$30),"")</f>
        <v/>
      </c>
      <c r="Y19" s="67" t="str">
        <f>IF(AND('Mapa final'!$Y$31="Alta",'Mapa final'!$AA$31="Moderado"),CONCATENATE("R4C",'Mapa final'!$O$31),"")</f>
        <v/>
      </c>
      <c r="Z19" s="67" t="str">
        <f>IF(AND('Mapa final'!$Y$32="Alta",'Mapa final'!$AA$32="Moderado"),CONCATENATE("R4C",'Mapa final'!$O$32),"")</f>
        <v/>
      </c>
      <c r="AA19" s="68" t="str">
        <f>IF(AND('Mapa final'!$Y$33="Alta",'Mapa final'!$AA$33="Moderado"),CONCATENATE("R4C",'Mapa final'!$O$33),"")</f>
        <v/>
      </c>
      <c r="AB19" s="66" t="str">
        <f>IF(AND('Mapa final'!$Y$28="Alta",'Mapa final'!$AA$28="Mayor"),CONCATENATE("R4C",'Mapa final'!$O$28),"")</f>
        <v/>
      </c>
      <c r="AC19" s="67" t="str">
        <f>IF(AND('Mapa final'!$Y$29="Alta",'Mapa final'!$AA$29="Mayor"),CONCATENATE("R4C",'Mapa final'!$O$29),"")</f>
        <v/>
      </c>
      <c r="AD19" s="67" t="str">
        <f>IF(AND('Mapa final'!$Y$30="Alta",'Mapa final'!$AA$30="Mayor"),CONCATENATE("R4C",'Mapa final'!$O$30),"")</f>
        <v/>
      </c>
      <c r="AE19" s="67" t="str">
        <f>IF(AND('Mapa final'!$Y$31="Alta",'Mapa final'!$AA$31="Mayor"),CONCATENATE("R4C",'Mapa final'!$O$31),"")</f>
        <v/>
      </c>
      <c r="AF19" s="67" t="str">
        <f>IF(AND('Mapa final'!$Y$32="Alta",'Mapa final'!$AA$32="Mayor"),CONCATENATE("R4C",'Mapa final'!$O$32),"")</f>
        <v/>
      </c>
      <c r="AG19" s="68" t="str">
        <f>IF(AND('Mapa final'!$Y$33="Alta",'Mapa final'!$AA$33="Mayor"),CONCATENATE("R4C",'Mapa final'!$O$33),"")</f>
        <v/>
      </c>
      <c r="AH19" s="69" t="str">
        <f>IF(AND('Mapa final'!$Y$28="Alta",'Mapa final'!$AA$28="Catastrófico"),CONCATENATE("R4C",'Mapa final'!$O$28),"")</f>
        <v/>
      </c>
      <c r="AI19" s="70" t="str">
        <f>IF(AND('Mapa final'!$Y$29="Alta",'Mapa final'!$AA$29="Catastrófico"),CONCATENATE("R4C",'Mapa final'!$O$29),"")</f>
        <v/>
      </c>
      <c r="AJ19" s="70" t="str">
        <f>IF(AND('Mapa final'!$Y$30="Alta",'Mapa final'!$AA$30="Catastrófico"),CONCATENATE("R4C",'Mapa final'!$O$30),"")</f>
        <v/>
      </c>
      <c r="AK19" s="70" t="str">
        <f>IF(AND('Mapa final'!$Y$31="Alta",'Mapa final'!$AA$31="Catastrófico"),CONCATENATE("R4C",'Mapa final'!$O$31),"")</f>
        <v/>
      </c>
      <c r="AL19" s="70" t="str">
        <f>IF(AND('Mapa final'!$Y$32="Alta",'Mapa final'!$AA$32="Catastrófico"),CONCATENATE("R4C",'Mapa final'!$O$32),"")</f>
        <v/>
      </c>
      <c r="AM19" s="71" t="str">
        <f>IF(AND('Mapa final'!$Y$33="Alta",'Mapa final'!$AA$33="Catastrófico"),CONCATENATE("R4C",'Mapa final'!$O$33),"")</f>
        <v/>
      </c>
      <c r="AN19" s="97"/>
      <c r="AO19" s="335"/>
      <c r="AP19" s="336"/>
      <c r="AQ19" s="336"/>
      <c r="AR19" s="336"/>
      <c r="AS19" s="336"/>
      <c r="AT19" s="33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x14ac:dyDescent="0.25">
      <c r="A20" s="97"/>
      <c r="B20" s="246"/>
      <c r="C20" s="246"/>
      <c r="D20" s="247"/>
      <c r="E20" s="345"/>
      <c r="F20" s="344"/>
      <c r="G20" s="344"/>
      <c r="H20" s="344"/>
      <c r="I20" s="344"/>
      <c r="J20" s="81" t="str">
        <f>IF(AND('Mapa final'!$Y$34="Alta",'Mapa final'!$AA$34="Leve"),CONCATENATE("R5C",'Mapa final'!$O$34),"")</f>
        <v/>
      </c>
      <c r="K20" s="82" t="str">
        <f>IF(AND('Mapa final'!$Y$35="Alta",'Mapa final'!$AA$35="Leve"),CONCATENATE("R5C",'Mapa final'!$O$35),"")</f>
        <v/>
      </c>
      <c r="L20" s="82" t="str">
        <f>IF(AND('Mapa final'!$Y$36="Alta",'Mapa final'!$AA$36="Leve"),CONCATENATE("R5C",'Mapa final'!$O$36),"")</f>
        <v/>
      </c>
      <c r="M20" s="82" t="str">
        <f>IF(AND('Mapa final'!$Y$37="Alta",'Mapa final'!$AA$37="Leve"),CONCATENATE("R5C",'Mapa final'!$O$37),"")</f>
        <v/>
      </c>
      <c r="N20" s="82" t="str">
        <f>IF(AND('Mapa final'!$Y$38="Alta",'Mapa final'!$AA$38="Leve"),CONCATENATE("R5C",'Mapa final'!$O$38),"")</f>
        <v/>
      </c>
      <c r="O20" s="83" t="str">
        <f>IF(AND('Mapa final'!$Y$39="Alta",'Mapa final'!$AA$39="Leve"),CONCATENATE("R5C",'Mapa final'!$O$39),"")</f>
        <v/>
      </c>
      <c r="P20" s="81" t="str">
        <f>IF(AND('Mapa final'!$Y$34="Alta",'Mapa final'!$AA$34="Menor"),CONCATENATE("R5C",'Mapa final'!$O$34),"")</f>
        <v/>
      </c>
      <c r="Q20" s="82" t="str">
        <f>IF(AND('Mapa final'!$Y$35="Alta",'Mapa final'!$AA$35="Menor"),CONCATENATE("R5C",'Mapa final'!$O$35),"")</f>
        <v/>
      </c>
      <c r="R20" s="82" t="str">
        <f>IF(AND('Mapa final'!$Y$36="Alta",'Mapa final'!$AA$36="Menor"),CONCATENATE("R5C",'Mapa final'!$O$36),"")</f>
        <v/>
      </c>
      <c r="S20" s="82" t="str">
        <f>IF(AND('Mapa final'!$Y$37="Alta",'Mapa final'!$AA$37="Menor"),CONCATENATE("R5C",'Mapa final'!$O$37),"")</f>
        <v/>
      </c>
      <c r="T20" s="82" t="str">
        <f>IF(AND('Mapa final'!$Y$38="Alta",'Mapa final'!$AA$38="Menor"),CONCATENATE("R5C",'Mapa final'!$O$38),"")</f>
        <v/>
      </c>
      <c r="U20" s="83" t="str">
        <f>IF(AND('Mapa final'!$Y$39="Alta",'Mapa final'!$AA$39="Menor"),CONCATENATE("R5C",'Mapa final'!$O$39),"")</f>
        <v/>
      </c>
      <c r="V20" s="66" t="str">
        <f>IF(AND('Mapa final'!$Y$34="Alta",'Mapa final'!$AA$34="Moderado"),CONCATENATE("R5C",'Mapa final'!$O$34),"")</f>
        <v/>
      </c>
      <c r="W20" s="67" t="str">
        <f>IF(AND('Mapa final'!$Y$35="Alta",'Mapa final'!$AA$35="Moderado"),CONCATENATE("R5C",'Mapa final'!$O$35),"")</f>
        <v/>
      </c>
      <c r="X20" s="67" t="str">
        <f>IF(AND('Mapa final'!$Y$36="Alta",'Mapa final'!$AA$36="Moderado"),CONCATENATE("R5C",'Mapa final'!$O$36),"")</f>
        <v/>
      </c>
      <c r="Y20" s="67" t="str">
        <f>IF(AND('Mapa final'!$Y$37="Alta",'Mapa final'!$AA$37="Moderado"),CONCATENATE("R5C",'Mapa final'!$O$37),"")</f>
        <v/>
      </c>
      <c r="Z20" s="67" t="str">
        <f>IF(AND('Mapa final'!$Y$38="Alta",'Mapa final'!$AA$38="Moderado"),CONCATENATE("R5C",'Mapa final'!$O$38),"")</f>
        <v/>
      </c>
      <c r="AA20" s="68" t="str">
        <f>IF(AND('Mapa final'!$Y$39="Alta",'Mapa final'!$AA$39="Moderado"),CONCATENATE("R5C",'Mapa final'!$O$39),"")</f>
        <v/>
      </c>
      <c r="AB20" s="66" t="str">
        <f>IF(AND('Mapa final'!$Y$34="Alta",'Mapa final'!$AA$34="Mayor"),CONCATENATE("R5C",'Mapa final'!$O$34),"")</f>
        <v/>
      </c>
      <c r="AC20" s="67" t="str">
        <f>IF(AND('Mapa final'!$Y$35="Alta",'Mapa final'!$AA$35="Mayor"),CONCATENATE("R5C",'Mapa final'!$O$35),"")</f>
        <v/>
      </c>
      <c r="AD20" s="67" t="str">
        <f>IF(AND('Mapa final'!$Y$36="Alta",'Mapa final'!$AA$36="Mayor"),CONCATENATE("R5C",'Mapa final'!$O$36),"")</f>
        <v/>
      </c>
      <c r="AE20" s="67" t="str">
        <f>IF(AND('Mapa final'!$Y$37="Alta",'Mapa final'!$AA$37="Mayor"),CONCATENATE("R5C",'Mapa final'!$O$37),"")</f>
        <v/>
      </c>
      <c r="AF20" s="67" t="str">
        <f>IF(AND('Mapa final'!$Y$38="Alta",'Mapa final'!$AA$38="Mayor"),CONCATENATE("R5C",'Mapa final'!$O$38),"")</f>
        <v/>
      </c>
      <c r="AG20" s="68" t="str">
        <f>IF(AND('Mapa final'!$Y$39="Alta",'Mapa final'!$AA$39="Mayor"),CONCATENATE("R5C",'Mapa final'!$O$39),"")</f>
        <v/>
      </c>
      <c r="AH20" s="69" t="str">
        <f>IF(AND('Mapa final'!$Y$34="Alta",'Mapa final'!$AA$34="Catastrófico"),CONCATENATE("R5C",'Mapa final'!$O$34),"")</f>
        <v/>
      </c>
      <c r="AI20" s="70" t="str">
        <f>IF(AND('Mapa final'!$Y$35="Alta",'Mapa final'!$AA$35="Catastrófico"),CONCATENATE("R5C",'Mapa final'!$O$35),"")</f>
        <v/>
      </c>
      <c r="AJ20" s="70" t="str">
        <f>IF(AND('Mapa final'!$Y$36="Alta",'Mapa final'!$AA$36="Catastrófico"),CONCATENATE("R5C",'Mapa final'!$O$36),"")</f>
        <v/>
      </c>
      <c r="AK20" s="70" t="str">
        <f>IF(AND('Mapa final'!$Y$37="Alta",'Mapa final'!$AA$37="Catastrófico"),CONCATENATE("R5C",'Mapa final'!$O$37),"")</f>
        <v/>
      </c>
      <c r="AL20" s="70" t="str">
        <f>IF(AND('Mapa final'!$Y$38="Alta",'Mapa final'!$AA$38="Catastrófico"),CONCATENATE("R5C",'Mapa final'!$O$38),"")</f>
        <v/>
      </c>
      <c r="AM20" s="71" t="str">
        <f>IF(AND('Mapa final'!$Y$39="Alta",'Mapa final'!$AA$39="Catastrófico"),CONCATENATE("R5C",'Mapa final'!$O$39),"")</f>
        <v/>
      </c>
      <c r="AN20" s="97"/>
      <c r="AO20" s="335"/>
      <c r="AP20" s="336"/>
      <c r="AQ20" s="336"/>
      <c r="AR20" s="336"/>
      <c r="AS20" s="336"/>
      <c r="AT20" s="33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x14ac:dyDescent="0.25">
      <c r="A21" s="97"/>
      <c r="B21" s="246"/>
      <c r="C21" s="246"/>
      <c r="D21" s="247"/>
      <c r="E21" s="345"/>
      <c r="F21" s="344"/>
      <c r="G21" s="344"/>
      <c r="H21" s="344"/>
      <c r="I21" s="344"/>
      <c r="J21" s="81" t="str">
        <f>IF(AND('Mapa final'!$Y$40="Alta",'Mapa final'!$AA$40="Leve"),CONCATENATE("R6C",'Mapa final'!$O$40),"")</f>
        <v/>
      </c>
      <c r="K21" s="82" t="str">
        <f>IF(AND('Mapa final'!$Y$41="Alta",'Mapa final'!$AA$41="Leve"),CONCATENATE("R6C",'Mapa final'!$O$41),"")</f>
        <v/>
      </c>
      <c r="L21" s="82" t="str">
        <f>IF(AND('Mapa final'!$Y$42="Alta",'Mapa final'!$AA$42="Leve"),CONCATENATE("R6C",'Mapa final'!$O$42),"")</f>
        <v/>
      </c>
      <c r="M21" s="82" t="str">
        <f>IF(AND('Mapa final'!$Y$43="Alta",'Mapa final'!$AA$43="Leve"),CONCATENATE("R6C",'Mapa final'!$O$43),"")</f>
        <v/>
      </c>
      <c r="N21" s="82" t="str">
        <f>IF(AND('Mapa final'!$Y$44="Alta",'Mapa final'!$AA$44="Leve"),CONCATENATE("R6C",'Mapa final'!$O$44),"")</f>
        <v/>
      </c>
      <c r="O21" s="83" t="str">
        <f>IF(AND('Mapa final'!$Y$45="Alta",'Mapa final'!$AA$45="Leve"),CONCATENATE("R6C",'Mapa final'!$O$45),"")</f>
        <v/>
      </c>
      <c r="P21" s="81" t="str">
        <f>IF(AND('Mapa final'!$Y$40="Alta",'Mapa final'!$AA$40="Menor"),CONCATENATE("R6C",'Mapa final'!$O$40),"")</f>
        <v/>
      </c>
      <c r="Q21" s="82" t="str">
        <f>IF(AND('Mapa final'!$Y$41="Alta",'Mapa final'!$AA$41="Menor"),CONCATENATE("R6C",'Mapa final'!$O$41),"")</f>
        <v/>
      </c>
      <c r="R21" s="82" t="str">
        <f>IF(AND('Mapa final'!$Y$42="Alta",'Mapa final'!$AA$42="Menor"),CONCATENATE("R6C",'Mapa final'!$O$42),"")</f>
        <v/>
      </c>
      <c r="S21" s="82" t="str">
        <f>IF(AND('Mapa final'!$Y$43="Alta",'Mapa final'!$AA$43="Menor"),CONCATENATE("R6C",'Mapa final'!$O$43),"")</f>
        <v/>
      </c>
      <c r="T21" s="82" t="str">
        <f>IF(AND('Mapa final'!$Y$44="Alta",'Mapa final'!$AA$44="Menor"),CONCATENATE("R6C",'Mapa final'!$O$44),"")</f>
        <v/>
      </c>
      <c r="U21" s="83" t="str">
        <f>IF(AND('Mapa final'!$Y$45="Alta",'Mapa final'!$AA$45="Menor"),CONCATENATE("R6C",'Mapa final'!$O$45),"")</f>
        <v/>
      </c>
      <c r="V21" s="66" t="str">
        <f>IF(AND('Mapa final'!$Y$40="Alta",'Mapa final'!$AA$40="Moderado"),CONCATENATE("R6C",'Mapa final'!$O$40),"")</f>
        <v/>
      </c>
      <c r="W21" s="67" t="str">
        <f>IF(AND('Mapa final'!$Y$41="Alta",'Mapa final'!$AA$41="Moderado"),CONCATENATE("R6C",'Mapa final'!$O$41),"")</f>
        <v/>
      </c>
      <c r="X21" s="67" t="str">
        <f>IF(AND('Mapa final'!$Y$42="Alta",'Mapa final'!$AA$42="Moderado"),CONCATENATE("R6C",'Mapa final'!$O$42),"")</f>
        <v/>
      </c>
      <c r="Y21" s="67" t="str">
        <f>IF(AND('Mapa final'!$Y$43="Alta",'Mapa final'!$AA$43="Moderado"),CONCATENATE("R6C",'Mapa final'!$O$43),"")</f>
        <v/>
      </c>
      <c r="Z21" s="67" t="str">
        <f>IF(AND('Mapa final'!$Y$44="Alta",'Mapa final'!$AA$44="Moderado"),CONCATENATE("R6C",'Mapa final'!$O$44),"")</f>
        <v/>
      </c>
      <c r="AA21" s="68" t="str">
        <f>IF(AND('Mapa final'!$Y$45="Alta",'Mapa final'!$AA$45="Moderado"),CONCATENATE("R6C",'Mapa final'!$O$45),"")</f>
        <v/>
      </c>
      <c r="AB21" s="66" t="str">
        <f>IF(AND('Mapa final'!$Y$40="Alta",'Mapa final'!$AA$40="Mayor"),CONCATENATE("R6C",'Mapa final'!$O$40),"")</f>
        <v/>
      </c>
      <c r="AC21" s="67" t="str">
        <f>IF(AND('Mapa final'!$Y$41="Alta",'Mapa final'!$AA$41="Mayor"),CONCATENATE("R6C",'Mapa final'!$O$41),"")</f>
        <v/>
      </c>
      <c r="AD21" s="67" t="str">
        <f>IF(AND('Mapa final'!$Y$42="Alta",'Mapa final'!$AA$42="Mayor"),CONCATENATE("R6C",'Mapa final'!$O$42),"")</f>
        <v/>
      </c>
      <c r="AE21" s="67" t="str">
        <f>IF(AND('Mapa final'!$Y$43="Alta",'Mapa final'!$AA$43="Mayor"),CONCATENATE("R6C",'Mapa final'!$O$43),"")</f>
        <v/>
      </c>
      <c r="AF21" s="67" t="str">
        <f>IF(AND('Mapa final'!$Y$44="Alta",'Mapa final'!$AA$44="Mayor"),CONCATENATE("R6C",'Mapa final'!$O$44),"")</f>
        <v/>
      </c>
      <c r="AG21" s="68" t="str">
        <f>IF(AND('Mapa final'!$Y$45="Alta",'Mapa final'!$AA$45="Mayor"),CONCATENATE("R6C",'Mapa final'!$O$45),"")</f>
        <v/>
      </c>
      <c r="AH21" s="69" t="str">
        <f>IF(AND('Mapa final'!$Y$40="Alta",'Mapa final'!$AA$40="Catastrófico"),CONCATENATE("R6C",'Mapa final'!$O$40),"")</f>
        <v/>
      </c>
      <c r="AI21" s="70" t="str">
        <f>IF(AND('Mapa final'!$Y$41="Alta",'Mapa final'!$AA$41="Catastrófico"),CONCATENATE("R6C",'Mapa final'!$O$41),"")</f>
        <v/>
      </c>
      <c r="AJ21" s="70" t="str">
        <f>IF(AND('Mapa final'!$Y$42="Alta",'Mapa final'!$AA$42="Catastrófico"),CONCATENATE("R6C",'Mapa final'!$O$42),"")</f>
        <v/>
      </c>
      <c r="AK21" s="70" t="str">
        <f>IF(AND('Mapa final'!$Y$43="Alta",'Mapa final'!$AA$43="Catastrófico"),CONCATENATE("R6C",'Mapa final'!$O$43),"")</f>
        <v/>
      </c>
      <c r="AL21" s="70" t="str">
        <f>IF(AND('Mapa final'!$Y$44="Alta",'Mapa final'!$AA$44="Catastrófico"),CONCATENATE("R6C",'Mapa final'!$O$44),"")</f>
        <v/>
      </c>
      <c r="AM21" s="71" t="str">
        <f>IF(AND('Mapa final'!$Y$45="Alta",'Mapa final'!$AA$45="Catastrófico"),CONCATENATE("R6C",'Mapa final'!$O$45),"")</f>
        <v/>
      </c>
      <c r="AN21" s="97"/>
      <c r="AO21" s="335"/>
      <c r="AP21" s="336"/>
      <c r="AQ21" s="336"/>
      <c r="AR21" s="336"/>
      <c r="AS21" s="336"/>
      <c r="AT21" s="33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x14ac:dyDescent="0.25">
      <c r="A22" s="97"/>
      <c r="B22" s="246"/>
      <c r="C22" s="246"/>
      <c r="D22" s="247"/>
      <c r="E22" s="345"/>
      <c r="F22" s="344"/>
      <c r="G22" s="344"/>
      <c r="H22" s="344"/>
      <c r="I22" s="344"/>
      <c r="J22" s="81" t="str">
        <f>IF(AND('Mapa final'!$Y$46="Alta",'Mapa final'!$AA$46="Leve"),CONCATENATE("R7C",'Mapa final'!$O$46),"")</f>
        <v/>
      </c>
      <c r="K22" s="82" t="str">
        <f>IF(AND('Mapa final'!$Y$47="Alta",'Mapa final'!$AA$47="Leve"),CONCATENATE("R7C",'Mapa final'!$O$47),"")</f>
        <v/>
      </c>
      <c r="L22" s="82" t="str">
        <f>IF(AND('Mapa final'!$Y$48="Alta",'Mapa final'!$AA$48="Leve"),CONCATENATE("R7C",'Mapa final'!$O$48),"")</f>
        <v/>
      </c>
      <c r="M22" s="82" t="str">
        <f>IF(AND('Mapa final'!$Y$49="Alta",'Mapa final'!$AA$49="Leve"),CONCATENATE("R7C",'Mapa final'!$O$49),"")</f>
        <v/>
      </c>
      <c r="N22" s="82" t="str">
        <f>IF(AND('Mapa final'!$Y$50="Alta",'Mapa final'!$AA$50="Leve"),CONCATENATE("R7C",'Mapa final'!$O$50),"")</f>
        <v/>
      </c>
      <c r="O22" s="83" t="str">
        <f>IF(AND('Mapa final'!$Y$51="Alta",'Mapa final'!$AA$51="Leve"),CONCATENATE("R7C",'Mapa final'!$O$51),"")</f>
        <v/>
      </c>
      <c r="P22" s="81" t="str">
        <f>IF(AND('Mapa final'!$Y$46="Alta",'Mapa final'!$AA$46="Menor"),CONCATENATE("R7C",'Mapa final'!$O$46),"")</f>
        <v/>
      </c>
      <c r="Q22" s="82" t="str">
        <f>IF(AND('Mapa final'!$Y$47="Alta",'Mapa final'!$AA$47="Menor"),CONCATENATE("R7C",'Mapa final'!$O$47),"")</f>
        <v/>
      </c>
      <c r="R22" s="82" t="str">
        <f>IF(AND('Mapa final'!$Y$48="Alta",'Mapa final'!$AA$48="Menor"),CONCATENATE("R7C",'Mapa final'!$O$48),"")</f>
        <v/>
      </c>
      <c r="S22" s="82" t="str">
        <f>IF(AND('Mapa final'!$Y$49="Alta",'Mapa final'!$AA$49="Menor"),CONCATENATE("R7C",'Mapa final'!$O$49),"")</f>
        <v/>
      </c>
      <c r="T22" s="82" t="str">
        <f>IF(AND('Mapa final'!$Y$50="Alta",'Mapa final'!$AA$50="Menor"),CONCATENATE("R7C",'Mapa final'!$O$50),"")</f>
        <v/>
      </c>
      <c r="U22" s="83" t="str">
        <f>IF(AND('Mapa final'!$Y$51="Alta",'Mapa final'!$AA$51="Menor"),CONCATENATE("R7C",'Mapa final'!$O$51),"")</f>
        <v/>
      </c>
      <c r="V22" s="66" t="str">
        <f>IF(AND('Mapa final'!$Y$46="Alta",'Mapa final'!$AA$46="Moderado"),CONCATENATE("R7C",'Mapa final'!$O$46),"")</f>
        <v/>
      </c>
      <c r="W22" s="67" t="str">
        <f>IF(AND('Mapa final'!$Y$47="Alta",'Mapa final'!$AA$47="Moderado"),CONCATENATE("R7C",'Mapa final'!$O$47),"")</f>
        <v/>
      </c>
      <c r="X22" s="67" t="str">
        <f>IF(AND('Mapa final'!$Y$48="Alta",'Mapa final'!$AA$48="Moderado"),CONCATENATE("R7C",'Mapa final'!$O$48),"")</f>
        <v/>
      </c>
      <c r="Y22" s="67" t="str">
        <f>IF(AND('Mapa final'!$Y$49="Alta",'Mapa final'!$AA$49="Moderado"),CONCATENATE("R7C",'Mapa final'!$O$49),"")</f>
        <v/>
      </c>
      <c r="Z22" s="67" t="str">
        <f>IF(AND('Mapa final'!$Y$50="Alta",'Mapa final'!$AA$50="Moderado"),CONCATENATE("R7C",'Mapa final'!$O$50),"")</f>
        <v/>
      </c>
      <c r="AA22" s="68" t="str">
        <f>IF(AND('Mapa final'!$Y$51="Alta",'Mapa final'!$AA$51="Moderado"),CONCATENATE("R7C",'Mapa final'!$O$51),"")</f>
        <v/>
      </c>
      <c r="AB22" s="66" t="str">
        <f>IF(AND('Mapa final'!$Y$46="Alta",'Mapa final'!$AA$46="Mayor"),CONCATENATE("R7C",'Mapa final'!$O$46),"")</f>
        <v/>
      </c>
      <c r="AC22" s="67" t="str">
        <f>IF(AND('Mapa final'!$Y$47="Alta",'Mapa final'!$AA$47="Mayor"),CONCATENATE("R7C",'Mapa final'!$O$47),"")</f>
        <v/>
      </c>
      <c r="AD22" s="67" t="str">
        <f>IF(AND('Mapa final'!$Y$48="Alta",'Mapa final'!$AA$48="Mayor"),CONCATENATE("R7C",'Mapa final'!$O$48),"")</f>
        <v/>
      </c>
      <c r="AE22" s="67" t="str">
        <f>IF(AND('Mapa final'!$Y$49="Alta",'Mapa final'!$AA$49="Mayor"),CONCATENATE("R7C",'Mapa final'!$O$49),"")</f>
        <v/>
      </c>
      <c r="AF22" s="67" t="str">
        <f>IF(AND('Mapa final'!$Y$50="Alta",'Mapa final'!$AA$50="Mayor"),CONCATENATE("R7C",'Mapa final'!$O$50),"")</f>
        <v/>
      </c>
      <c r="AG22" s="68" t="str">
        <f>IF(AND('Mapa final'!$Y$51="Alta",'Mapa final'!$AA$51="Mayor"),CONCATENATE("R7C",'Mapa final'!$O$51),"")</f>
        <v/>
      </c>
      <c r="AH22" s="69" t="str">
        <f>IF(AND('Mapa final'!$Y$46="Alta",'Mapa final'!$AA$46="Catastrófico"),CONCATENATE("R7C",'Mapa final'!$O$46),"")</f>
        <v/>
      </c>
      <c r="AI22" s="70" t="str">
        <f>IF(AND('Mapa final'!$Y$47="Alta",'Mapa final'!$AA$47="Catastrófico"),CONCATENATE("R7C",'Mapa final'!$O$47),"")</f>
        <v/>
      </c>
      <c r="AJ22" s="70" t="str">
        <f>IF(AND('Mapa final'!$Y$48="Alta",'Mapa final'!$AA$48="Catastrófico"),CONCATENATE("R7C",'Mapa final'!$O$48),"")</f>
        <v/>
      </c>
      <c r="AK22" s="70" t="str">
        <f>IF(AND('Mapa final'!$Y$49="Alta",'Mapa final'!$AA$49="Catastrófico"),CONCATENATE("R7C",'Mapa final'!$O$49),"")</f>
        <v/>
      </c>
      <c r="AL22" s="70" t="str">
        <f>IF(AND('Mapa final'!$Y$50="Alta",'Mapa final'!$AA$50="Catastrófico"),CONCATENATE("R7C",'Mapa final'!$O$50),"")</f>
        <v/>
      </c>
      <c r="AM22" s="71" t="str">
        <f>IF(AND('Mapa final'!$Y$51="Alta",'Mapa final'!$AA$51="Catastrófico"),CONCATENATE("R7C",'Mapa final'!$O$51),"")</f>
        <v/>
      </c>
      <c r="AN22" s="97"/>
      <c r="AO22" s="335"/>
      <c r="AP22" s="336"/>
      <c r="AQ22" s="336"/>
      <c r="AR22" s="336"/>
      <c r="AS22" s="336"/>
      <c r="AT22" s="33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x14ac:dyDescent="0.25">
      <c r="A23" s="97"/>
      <c r="B23" s="246"/>
      <c r="C23" s="246"/>
      <c r="D23" s="247"/>
      <c r="E23" s="345"/>
      <c r="F23" s="344"/>
      <c r="G23" s="344"/>
      <c r="H23" s="344"/>
      <c r="I23" s="344"/>
      <c r="J23" s="81" t="str">
        <f>IF(AND('Mapa final'!$Y$52="Alta",'Mapa final'!$AA$52="Leve"),CONCATENATE("R8C",'Mapa final'!$O$52),"")</f>
        <v/>
      </c>
      <c r="K23" s="82" t="str">
        <f>IF(AND('Mapa final'!$Y$53="Alta",'Mapa final'!$AA$53="Leve"),CONCATENATE("R8C",'Mapa final'!$O$53),"")</f>
        <v/>
      </c>
      <c r="L23" s="82" t="str">
        <f>IF(AND('Mapa final'!$Y$54="Alta",'Mapa final'!$AA$54="Leve"),CONCATENATE("R8C",'Mapa final'!$O$54),"")</f>
        <v/>
      </c>
      <c r="M23" s="82" t="str">
        <f>IF(AND('Mapa final'!$Y$55="Alta",'Mapa final'!$AA$55="Leve"),CONCATENATE("R8C",'Mapa final'!$O$55),"")</f>
        <v/>
      </c>
      <c r="N23" s="82" t="str">
        <f>IF(AND('Mapa final'!$Y$56="Alta",'Mapa final'!$AA$56="Leve"),CONCATENATE("R8C",'Mapa final'!$O$56),"")</f>
        <v/>
      </c>
      <c r="O23" s="83" t="str">
        <f>IF(AND('Mapa final'!$Y$57="Alta",'Mapa final'!$AA$57="Leve"),CONCATENATE("R8C",'Mapa final'!$O$57),"")</f>
        <v/>
      </c>
      <c r="P23" s="81" t="str">
        <f>IF(AND('Mapa final'!$Y$52="Alta",'Mapa final'!$AA$52="Menor"),CONCATENATE("R8C",'Mapa final'!$O$52),"")</f>
        <v/>
      </c>
      <c r="Q23" s="82" t="str">
        <f>IF(AND('Mapa final'!$Y$53="Alta",'Mapa final'!$AA$53="Menor"),CONCATENATE("R8C",'Mapa final'!$O$53),"")</f>
        <v/>
      </c>
      <c r="R23" s="82" t="str">
        <f>IF(AND('Mapa final'!$Y$54="Alta",'Mapa final'!$AA$54="Menor"),CONCATENATE("R8C",'Mapa final'!$O$54),"")</f>
        <v/>
      </c>
      <c r="S23" s="82" t="str">
        <f>IF(AND('Mapa final'!$Y$55="Alta",'Mapa final'!$AA$55="Menor"),CONCATENATE("R8C",'Mapa final'!$O$55),"")</f>
        <v/>
      </c>
      <c r="T23" s="82" t="str">
        <f>IF(AND('Mapa final'!$Y$56="Alta",'Mapa final'!$AA$56="Menor"),CONCATENATE("R8C",'Mapa final'!$O$56),"")</f>
        <v/>
      </c>
      <c r="U23" s="83" t="str">
        <f>IF(AND('Mapa final'!$Y$57="Alta",'Mapa final'!$AA$57="Menor"),CONCATENATE("R8C",'Mapa final'!$O$57),"")</f>
        <v/>
      </c>
      <c r="V23" s="66" t="str">
        <f>IF(AND('Mapa final'!$Y$52="Alta",'Mapa final'!$AA$52="Moderado"),CONCATENATE("R8C",'Mapa final'!$O$52),"")</f>
        <v/>
      </c>
      <c r="W23" s="67" t="str">
        <f>IF(AND('Mapa final'!$Y$53="Alta",'Mapa final'!$AA$53="Moderado"),CONCATENATE("R8C",'Mapa final'!$O$53),"")</f>
        <v/>
      </c>
      <c r="X23" s="67" t="str">
        <f>IF(AND('Mapa final'!$Y$54="Alta",'Mapa final'!$AA$54="Moderado"),CONCATENATE("R8C",'Mapa final'!$O$54),"")</f>
        <v/>
      </c>
      <c r="Y23" s="67" t="str">
        <f>IF(AND('Mapa final'!$Y$55="Alta",'Mapa final'!$AA$55="Moderado"),CONCATENATE("R8C",'Mapa final'!$O$55),"")</f>
        <v/>
      </c>
      <c r="Z23" s="67" t="str">
        <f>IF(AND('Mapa final'!$Y$56="Alta",'Mapa final'!$AA$56="Moderado"),CONCATENATE("R8C",'Mapa final'!$O$56),"")</f>
        <v/>
      </c>
      <c r="AA23" s="68" t="str">
        <f>IF(AND('Mapa final'!$Y$57="Alta",'Mapa final'!$AA$57="Moderado"),CONCATENATE("R8C",'Mapa final'!$O$57),"")</f>
        <v/>
      </c>
      <c r="AB23" s="66" t="str">
        <f>IF(AND('Mapa final'!$Y$52="Alta",'Mapa final'!$AA$52="Mayor"),CONCATENATE("R8C",'Mapa final'!$O$52),"")</f>
        <v/>
      </c>
      <c r="AC23" s="67" t="str">
        <f>IF(AND('Mapa final'!$Y$53="Alta",'Mapa final'!$AA$53="Mayor"),CONCATENATE("R8C",'Mapa final'!$O$53),"")</f>
        <v/>
      </c>
      <c r="AD23" s="67" t="str">
        <f>IF(AND('Mapa final'!$Y$54="Alta",'Mapa final'!$AA$54="Mayor"),CONCATENATE("R8C",'Mapa final'!$O$54),"")</f>
        <v/>
      </c>
      <c r="AE23" s="67" t="str">
        <f>IF(AND('Mapa final'!$Y$55="Alta",'Mapa final'!$AA$55="Mayor"),CONCATENATE("R8C",'Mapa final'!$O$55),"")</f>
        <v/>
      </c>
      <c r="AF23" s="67" t="str">
        <f>IF(AND('Mapa final'!$Y$56="Alta",'Mapa final'!$AA$56="Mayor"),CONCATENATE("R8C",'Mapa final'!$O$56),"")</f>
        <v/>
      </c>
      <c r="AG23" s="68" t="str">
        <f>IF(AND('Mapa final'!$Y$57="Alta",'Mapa final'!$AA$57="Mayor"),CONCATENATE("R8C",'Mapa final'!$O$57),"")</f>
        <v/>
      </c>
      <c r="AH23" s="69" t="str">
        <f>IF(AND('Mapa final'!$Y$52="Alta",'Mapa final'!$AA$52="Catastrófico"),CONCATENATE("R8C",'Mapa final'!$O$52),"")</f>
        <v/>
      </c>
      <c r="AI23" s="70" t="str">
        <f>IF(AND('Mapa final'!$Y$53="Alta",'Mapa final'!$AA$53="Catastrófico"),CONCATENATE("R8C",'Mapa final'!$O$53),"")</f>
        <v/>
      </c>
      <c r="AJ23" s="70" t="str">
        <f>IF(AND('Mapa final'!$Y$54="Alta",'Mapa final'!$AA$54="Catastrófico"),CONCATENATE("R8C",'Mapa final'!$O$54),"")</f>
        <v/>
      </c>
      <c r="AK23" s="70" t="str">
        <f>IF(AND('Mapa final'!$Y$55="Alta",'Mapa final'!$AA$55="Catastrófico"),CONCATENATE("R8C",'Mapa final'!$O$55),"")</f>
        <v/>
      </c>
      <c r="AL23" s="70" t="str">
        <f>IF(AND('Mapa final'!$Y$56="Alta",'Mapa final'!$AA$56="Catastrófico"),CONCATENATE("R8C",'Mapa final'!$O$56),"")</f>
        <v/>
      </c>
      <c r="AM23" s="71" t="str">
        <f>IF(AND('Mapa final'!$Y$57="Alta",'Mapa final'!$AA$57="Catastrófico"),CONCATENATE("R8C",'Mapa final'!$O$57),"")</f>
        <v/>
      </c>
      <c r="AN23" s="97"/>
      <c r="AO23" s="335"/>
      <c r="AP23" s="336"/>
      <c r="AQ23" s="336"/>
      <c r="AR23" s="336"/>
      <c r="AS23" s="336"/>
      <c r="AT23" s="33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x14ac:dyDescent="0.25">
      <c r="A24" s="97"/>
      <c r="B24" s="246"/>
      <c r="C24" s="246"/>
      <c r="D24" s="247"/>
      <c r="E24" s="345"/>
      <c r="F24" s="344"/>
      <c r="G24" s="344"/>
      <c r="H24" s="344"/>
      <c r="I24" s="344"/>
      <c r="J24" s="81" t="str">
        <f>IF(AND('Mapa final'!$Y$58="Alta",'Mapa final'!$AA$58="Leve"),CONCATENATE("R9C",'Mapa final'!$O$58),"")</f>
        <v/>
      </c>
      <c r="K24" s="82" t="str">
        <f>IF(AND('Mapa final'!$Y$59="Alta",'Mapa final'!$AA$59="Leve"),CONCATENATE("R9C",'Mapa final'!$O$59),"")</f>
        <v/>
      </c>
      <c r="L24" s="82" t="str">
        <f>IF(AND('Mapa final'!$Y$60="Alta",'Mapa final'!$AA$60="Leve"),CONCATENATE("R9C",'Mapa final'!$O$60),"")</f>
        <v/>
      </c>
      <c r="M24" s="82" t="str">
        <f>IF(AND('Mapa final'!$Y$61="Alta",'Mapa final'!$AA$61="Leve"),CONCATENATE("R9C",'Mapa final'!$O$61),"")</f>
        <v/>
      </c>
      <c r="N24" s="82" t="str">
        <f>IF(AND('Mapa final'!$Y$62="Alta",'Mapa final'!$AA$62="Leve"),CONCATENATE("R9C",'Mapa final'!$O$62),"")</f>
        <v/>
      </c>
      <c r="O24" s="83" t="str">
        <f>IF(AND('Mapa final'!$Y$63="Alta",'Mapa final'!$AA$63="Leve"),CONCATENATE("R9C",'Mapa final'!$O$63),"")</f>
        <v/>
      </c>
      <c r="P24" s="81" t="str">
        <f>IF(AND('Mapa final'!$Y$58="Alta",'Mapa final'!$AA$58="Menor"),CONCATENATE("R9C",'Mapa final'!$O$58),"")</f>
        <v/>
      </c>
      <c r="Q24" s="82" t="str">
        <f>IF(AND('Mapa final'!$Y$59="Alta",'Mapa final'!$AA$59="Menor"),CONCATENATE("R9C",'Mapa final'!$O$59),"")</f>
        <v/>
      </c>
      <c r="R24" s="82" t="str">
        <f>IF(AND('Mapa final'!$Y$60="Alta",'Mapa final'!$AA$60="Menor"),CONCATENATE("R9C",'Mapa final'!$O$60),"")</f>
        <v/>
      </c>
      <c r="S24" s="82" t="str">
        <f>IF(AND('Mapa final'!$Y$61="Alta",'Mapa final'!$AA$61="Menor"),CONCATENATE("R9C",'Mapa final'!$O$61),"")</f>
        <v/>
      </c>
      <c r="T24" s="82" t="str">
        <f>IF(AND('Mapa final'!$Y$62="Alta",'Mapa final'!$AA$62="Menor"),CONCATENATE("R9C",'Mapa final'!$O$62),"")</f>
        <v/>
      </c>
      <c r="U24" s="83" t="str">
        <f>IF(AND('Mapa final'!$Y$63="Alta",'Mapa final'!$AA$63="Menor"),CONCATENATE("R9C",'Mapa final'!$O$63),"")</f>
        <v/>
      </c>
      <c r="V24" s="66" t="str">
        <f>IF(AND('Mapa final'!$Y$58="Alta",'Mapa final'!$AA$58="Moderado"),CONCATENATE("R9C",'Mapa final'!$O$58),"")</f>
        <v/>
      </c>
      <c r="W24" s="67" t="str">
        <f>IF(AND('Mapa final'!$Y$59="Alta",'Mapa final'!$AA$59="Moderado"),CONCATENATE("R9C",'Mapa final'!$O$59),"")</f>
        <v/>
      </c>
      <c r="X24" s="67" t="str">
        <f>IF(AND('Mapa final'!$Y$60="Alta",'Mapa final'!$AA$60="Moderado"),CONCATENATE("R9C",'Mapa final'!$O$60),"")</f>
        <v/>
      </c>
      <c r="Y24" s="67" t="str">
        <f>IF(AND('Mapa final'!$Y$61="Alta",'Mapa final'!$AA$61="Moderado"),CONCATENATE("R9C",'Mapa final'!$O$61),"")</f>
        <v/>
      </c>
      <c r="Z24" s="67" t="str">
        <f>IF(AND('Mapa final'!$Y$62="Alta",'Mapa final'!$AA$62="Moderado"),CONCATENATE("R9C",'Mapa final'!$O$62),"")</f>
        <v/>
      </c>
      <c r="AA24" s="68" t="str">
        <f>IF(AND('Mapa final'!$Y$63="Alta",'Mapa final'!$AA$63="Moderado"),CONCATENATE("R9C",'Mapa final'!$O$63),"")</f>
        <v/>
      </c>
      <c r="AB24" s="66" t="str">
        <f>IF(AND('Mapa final'!$Y$58="Alta",'Mapa final'!$AA$58="Mayor"),CONCATENATE("R9C",'Mapa final'!$O$58),"")</f>
        <v/>
      </c>
      <c r="AC24" s="67" t="str">
        <f>IF(AND('Mapa final'!$Y$59="Alta",'Mapa final'!$AA$59="Mayor"),CONCATENATE("R9C",'Mapa final'!$O$59),"")</f>
        <v/>
      </c>
      <c r="AD24" s="67" t="str">
        <f>IF(AND('Mapa final'!$Y$60="Alta",'Mapa final'!$AA$60="Mayor"),CONCATENATE("R9C",'Mapa final'!$O$60),"")</f>
        <v/>
      </c>
      <c r="AE24" s="67" t="str">
        <f>IF(AND('Mapa final'!$Y$61="Alta",'Mapa final'!$AA$61="Mayor"),CONCATENATE("R9C",'Mapa final'!$O$61),"")</f>
        <v/>
      </c>
      <c r="AF24" s="67" t="str">
        <f>IF(AND('Mapa final'!$Y$62="Alta",'Mapa final'!$AA$62="Mayor"),CONCATENATE("R9C",'Mapa final'!$O$62),"")</f>
        <v/>
      </c>
      <c r="AG24" s="68" t="str">
        <f>IF(AND('Mapa final'!$Y$63="Alta",'Mapa final'!$AA$63="Mayor"),CONCATENATE("R9C",'Mapa final'!$O$63),"")</f>
        <v/>
      </c>
      <c r="AH24" s="69" t="str">
        <f>IF(AND('Mapa final'!$Y$58="Alta",'Mapa final'!$AA$58="Catastrófico"),CONCATENATE("R9C",'Mapa final'!$O$58),"")</f>
        <v/>
      </c>
      <c r="AI24" s="70" t="str">
        <f>IF(AND('Mapa final'!$Y$59="Alta",'Mapa final'!$AA$59="Catastrófico"),CONCATENATE("R9C",'Mapa final'!$O$59),"")</f>
        <v/>
      </c>
      <c r="AJ24" s="70" t="str">
        <f>IF(AND('Mapa final'!$Y$60="Alta",'Mapa final'!$AA$60="Catastrófico"),CONCATENATE("R9C",'Mapa final'!$O$60),"")</f>
        <v/>
      </c>
      <c r="AK24" s="70" t="str">
        <f>IF(AND('Mapa final'!$Y$61="Alta",'Mapa final'!$AA$61="Catastrófico"),CONCATENATE("R9C",'Mapa final'!$O$61),"")</f>
        <v/>
      </c>
      <c r="AL24" s="70" t="str">
        <f>IF(AND('Mapa final'!$Y$62="Alta",'Mapa final'!$AA$62="Catastrófico"),CONCATENATE("R9C",'Mapa final'!$O$62),"")</f>
        <v/>
      </c>
      <c r="AM24" s="71" t="str">
        <f>IF(AND('Mapa final'!$Y$63="Alta",'Mapa final'!$AA$63="Catastrófico"),CONCATENATE("R9C",'Mapa final'!$O$63),"")</f>
        <v/>
      </c>
      <c r="AN24" s="97"/>
      <c r="AO24" s="335"/>
      <c r="AP24" s="336"/>
      <c r="AQ24" s="336"/>
      <c r="AR24" s="336"/>
      <c r="AS24" s="336"/>
      <c r="AT24" s="33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x14ac:dyDescent="0.3">
      <c r="A25" s="97"/>
      <c r="B25" s="246"/>
      <c r="C25" s="246"/>
      <c r="D25" s="247"/>
      <c r="E25" s="346"/>
      <c r="F25" s="347"/>
      <c r="G25" s="347"/>
      <c r="H25" s="347"/>
      <c r="I25" s="347"/>
      <c r="J25" s="84" t="str">
        <f>IF(AND('Mapa final'!$Y$64="Alta",'Mapa final'!$AA$64="Leve"),CONCATENATE("R10C",'Mapa final'!$O$64),"")</f>
        <v/>
      </c>
      <c r="K25" s="85" t="str">
        <f>IF(AND('Mapa final'!$Y$65="Alta",'Mapa final'!$AA$65="Leve"),CONCATENATE("R10C",'Mapa final'!$O$65),"")</f>
        <v/>
      </c>
      <c r="L25" s="85" t="str">
        <f>IF(AND('Mapa final'!$Y$66="Alta",'Mapa final'!$AA$66="Leve"),CONCATENATE("R10C",'Mapa final'!$O$66),"")</f>
        <v/>
      </c>
      <c r="M25" s="85" t="str">
        <f>IF(AND('Mapa final'!$Y$67="Alta",'Mapa final'!$AA$67="Leve"),CONCATENATE("R10C",'Mapa final'!$O$67),"")</f>
        <v/>
      </c>
      <c r="N25" s="85" t="str">
        <f>IF(AND('Mapa final'!$Y$68="Alta",'Mapa final'!$AA$68="Leve"),CONCATENATE("R10C",'Mapa final'!$O$68),"")</f>
        <v/>
      </c>
      <c r="O25" s="86" t="str">
        <f>IF(AND('Mapa final'!$Y$69="Alta",'Mapa final'!$AA$69="Leve"),CONCATENATE("R10C",'Mapa final'!$O$69),"")</f>
        <v/>
      </c>
      <c r="P25" s="84" t="str">
        <f>IF(AND('Mapa final'!$Y$64="Alta",'Mapa final'!$AA$64="Menor"),CONCATENATE("R10C",'Mapa final'!$O$64),"")</f>
        <v/>
      </c>
      <c r="Q25" s="85" t="str">
        <f>IF(AND('Mapa final'!$Y$65="Alta",'Mapa final'!$AA$65="Menor"),CONCATENATE("R10C",'Mapa final'!$O$65),"")</f>
        <v/>
      </c>
      <c r="R25" s="85" t="str">
        <f>IF(AND('Mapa final'!$Y$66="Alta",'Mapa final'!$AA$66="Menor"),CONCATENATE("R10C",'Mapa final'!$O$66),"")</f>
        <v/>
      </c>
      <c r="S25" s="85" t="str">
        <f>IF(AND('Mapa final'!$Y$67="Alta",'Mapa final'!$AA$67="Menor"),CONCATENATE("R10C",'Mapa final'!$O$67),"")</f>
        <v/>
      </c>
      <c r="T25" s="85" t="str">
        <f>IF(AND('Mapa final'!$Y$68="Alta",'Mapa final'!$AA$68="Menor"),CONCATENATE("R10C",'Mapa final'!$O$68),"")</f>
        <v/>
      </c>
      <c r="U25" s="86" t="str">
        <f>IF(AND('Mapa final'!$Y$69="Alta",'Mapa final'!$AA$69="Menor"),CONCATENATE("R10C",'Mapa final'!$O$69),"")</f>
        <v/>
      </c>
      <c r="V25" s="72" t="str">
        <f>IF(AND('Mapa final'!$Y$64="Alta",'Mapa final'!$AA$64="Moderado"),CONCATENATE("R10C",'Mapa final'!$O$64),"")</f>
        <v/>
      </c>
      <c r="W25" s="73" t="str">
        <f>IF(AND('Mapa final'!$Y$65="Alta",'Mapa final'!$AA$65="Moderado"),CONCATENATE("R10C",'Mapa final'!$O$65),"")</f>
        <v/>
      </c>
      <c r="X25" s="73" t="str">
        <f>IF(AND('Mapa final'!$Y$66="Alta",'Mapa final'!$AA$66="Moderado"),CONCATENATE("R10C",'Mapa final'!$O$66),"")</f>
        <v/>
      </c>
      <c r="Y25" s="73" t="str">
        <f>IF(AND('Mapa final'!$Y$67="Alta",'Mapa final'!$AA$67="Moderado"),CONCATENATE("R10C",'Mapa final'!$O$67),"")</f>
        <v/>
      </c>
      <c r="Z25" s="73" t="str">
        <f>IF(AND('Mapa final'!$Y$68="Alta",'Mapa final'!$AA$68="Moderado"),CONCATENATE("R10C",'Mapa final'!$O$68),"")</f>
        <v/>
      </c>
      <c r="AA25" s="74" t="str">
        <f>IF(AND('Mapa final'!$Y$69="Alta",'Mapa final'!$AA$69="Moderado"),CONCATENATE("R10C",'Mapa final'!$O$69),"")</f>
        <v/>
      </c>
      <c r="AB25" s="72" t="str">
        <f>IF(AND('Mapa final'!$Y$64="Alta",'Mapa final'!$AA$64="Mayor"),CONCATENATE("R10C",'Mapa final'!$O$64),"")</f>
        <v/>
      </c>
      <c r="AC25" s="73" t="str">
        <f>IF(AND('Mapa final'!$Y$65="Alta",'Mapa final'!$AA$65="Mayor"),CONCATENATE("R10C",'Mapa final'!$O$65),"")</f>
        <v/>
      </c>
      <c r="AD25" s="73" t="str">
        <f>IF(AND('Mapa final'!$Y$66="Alta",'Mapa final'!$AA$66="Mayor"),CONCATENATE("R10C",'Mapa final'!$O$66),"")</f>
        <v/>
      </c>
      <c r="AE25" s="73" t="str">
        <f>IF(AND('Mapa final'!$Y$67="Alta",'Mapa final'!$AA$67="Mayor"),CONCATENATE("R10C",'Mapa final'!$O$67),"")</f>
        <v/>
      </c>
      <c r="AF25" s="73" t="str">
        <f>IF(AND('Mapa final'!$Y$68="Alta",'Mapa final'!$AA$68="Mayor"),CONCATENATE("R10C",'Mapa final'!$O$68),"")</f>
        <v/>
      </c>
      <c r="AG25" s="74" t="str">
        <f>IF(AND('Mapa final'!$Y$69="Alta",'Mapa final'!$AA$69="Mayor"),CONCATENATE("R10C",'Mapa final'!$O$69),"")</f>
        <v/>
      </c>
      <c r="AH25" s="75" t="str">
        <f>IF(AND('Mapa final'!$Y$64="Alta",'Mapa final'!$AA$64="Catastrófico"),CONCATENATE("R10C",'Mapa final'!$O$64),"")</f>
        <v/>
      </c>
      <c r="AI25" s="76" t="str">
        <f>IF(AND('Mapa final'!$Y$65="Alta",'Mapa final'!$AA$65="Catastrófico"),CONCATENATE("R10C",'Mapa final'!$O$65),"")</f>
        <v/>
      </c>
      <c r="AJ25" s="76" t="str">
        <f>IF(AND('Mapa final'!$Y$66="Alta",'Mapa final'!$AA$66="Catastrófico"),CONCATENATE("R10C",'Mapa final'!$O$66),"")</f>
        <v/>
      </c>
      <c r="AK25" s="76" t="str">
        <f>IF(AND('Mapa final'!$Y$67="Alta",'Mapa final'!$AA$67="Catastrófico"),CONCATENATE("R10C",'Mapa final'!$O$67),"")</f>
        <v/>
      </c>
      <c r="AL25" s="76" t="str">
        <f>IF(AND('Mapa final'!$Y$68="Alta",'Mapa final'!$AA$68="Catastrófico"),CONCATENATE("R10C",'Mapa final'!$O$68),"")</f>
        <v/>
      </c>
      <c r="AM25" s="77" t="str">
        <f>IF(AND('Mapa final'!$Y$69="Alta",'Mapa final'!$AA$69="Catastrófico"),CONCATENATE("R10C",'Mapa final'!$O$69),"")</f>
        <v/>
      </c>
      <c r="AN25" s="97"/>
      <c r="AO25" s="338"/>
      <c r="AP25" s="339"/>
      <c r="AQ25" s="339"/>
      <c r="AR25" s="339"/>
      <c r="AS25" s="339"/>
      <c r="AT25" s="340"/>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x14ac:dyDescent="0.25">
      <c r="A26" s="97"/>
      <c r="B26" s="246"/>
      <c r="C26" s="246"/>
      <c r="D26" s="247"/>
      <c r="E26" s="341" t="s">
        <v>117</v>
      </c>
      <c r="F26" s="342"/>
      <c r="G26" s="342"/>
      <c r="H26" s="342"/>
      <c r="I26" s="359"/>
      <c r="J26" s="78" t="str">
        <f>IF(AND('Mapa final'!$Y$10="Media",'Mapa final'!$AA$10="Leve"),CONCATENATE("R1C",'Mapa final'!$O$10),"")</f>
        <v/>
      </c>
      <c r="K26" s="79" t="str">
        <f>IF(AND('Mapa final'!$Y$11="Media",'Mapa final'!$AA$11="Leve"),CONCATENATE("R1C",'Mapa final'!$O$11),"")</f>
        <v/>
      </c>
      <c r="L26" s="79" t="str">
        <f>IF(AND('Mapa final'!$Y$12="Media",'Mapa final'!$AA$12="Leve"),CONCATENATE("R1C",'Mapa final'!$O$12),"")</f>
        <v/>
      </c>
      <c r="M26" s="79" t="str">
        <f>IF(AND('Mapa final'!$Y$13="Media",'Mapa final'!$AA$13="Leve"),CONCATENATE("R1C",'Mapa final'!$O$13),"")</f>
        <v/>
      </c>
      <c r="N26" s="79" t="str">
        <f>IF(AND('Mapa final'!$Y$14="Media",'Mapa final'!$AA$14="Leve"),CONCATENATE("R1C",'Mapa final'!$O$14),"")</f>
        <v/>
      </c>
      <c r="O26" s="80" t="str">
        <f>IF(AND('Mapa final'!$Y$15="Media",'Mapa final'!$AA$15="Leve"),CONCATENATE("R1C",'Mapa final'!$O$15),"")</f>
        <v/>
      </c>
      <c r="P26" s="78" t="str">
        <f>IF(AND('Mapa final'!$Y$10="Media",'Mapa final'!$AA$10="Menor"),CONCATENATE("R1C",'Mapa final'!$O$10),"")</f>
        <v/>
      </c>
      <c r="Q26" s="79" t="str">
        <f>IF(AND('Mapa final'!$Y$11="Media",'Mapa final'!$AA$11="Menor"),CONCATENATE("R1C",'Mapa final'!$O$11),"")</f>
        <v/>
      </c>
      <c r="R26" s="79" t="str">
        <f>IF(AND('Mapa final'!$Y$12="Media",'Mapa final'!$AA$12="Menor"),CONCATENATE("R1C",'Mapa final'!$O$12),"")</f>
        <v/>
      </c>
      <c r="S26" s="79" t="str">
        <f>IF(AND('Mapa final'!$Y$13="Media",'Mapa final'!$AA$13="Menor"),CONCATENATE("R1C",'Mapa final'!$O$13),"")</f>
        <v/>
      </c>
      <c r="T26" s="79" t="str">
        <f>IF(AND('Mapa final'!$Y$14="Media",'Mapa final'!$AA$14="Menor"),CONCATENATE("R1C",'Mapa final'!$O$14),"")</f>
        <v/>
      </c>
      <c r="U26" s="80" t="str">
        <f>IF(AND('Mapa final'!$Y$15="Media",'Mapa final'!$AA$15="Menor"),CONCATENATE("R1C",'Mapa final'!$O$15),"")</f>
        <v/>
      </c>
      <c r="V26" s="78" t="str">
        <f>IF(AND('Mapa final'!$Y$10="Media",'Mapa final'!$AA$10="Moderado"),CONCATENATE("R1C",'Mapa final'!$O$10),"")</f>
        <v/>
      </c>
      <c r="W26" s="79" t="str">
        <f>IF(AND('Mapa final'!$Y$11="Media",'Mapa final'!$AA$11="Moderado"),CONCATENATE("R1C",'Mapa final'!$O$11),"")</f>
        <v/>
      </c>
      <c r="X26" s="79" t="str">
        <f>IF(AND('Mapa final'!$Y$12="Media",'Mapa final'!$AA$12="Moderado"),CONCATENATE("R1C",'Mapa final'!$O$12),"")</f>
        <v/>
      </c>
      <c r="Y26" s="79" t="str">
        <f>IF(AND('Mapa final'!$Y$13="Media",'Mapa final'!$AA$13="Moderado"),CONCATENATE("R1C",'Mapa final'!$O$13),"")</f>
        <v/>
      </c>
      <c r="Z26" s="79" t="str">
        <f>IF(AND('Mapa final'!$Y$14="Media",'Mapa final'!$AA$14="Moderado"),CONCATENATE("R1C",'Mapa final'!$O$14),"")</f>
        <v/>
      </c>
      <c r="AA26" s="80" t="str">
        <f>IF(AND('Mapa final'!$Y$15="Media",'Mapa final'!$AA$15="Moderado"),CONCATENATE("R1C",'Mapa final'!$O$15),"")</f>
        <v/>
      </c>
      <c r="AB26" s="60" t="str">
        <f>IF(AND('Mapa final'!$Y$10="Media",'Mapa final'!$AA$10="Mayor"),CONCATENATE("R1C",'Mapa final'!$O$10),"")</f>
        <v/>
      </c>
      <c r="AC26" s="61" t="str">
        <f>IF(AND('Mapa final'!$Y$11="Media",'Mapa final'!$AA$11="Mayor"),CONCATENATE("R1C",'Mapa final'!$O$11),"")</f>
        <v/>
      </c>
      <c r="AD26" s="61" t="str">
        <f>IF(AND('Mapa final'!$Y$12="Media",'Mapa final'!$AA$12="Mayor"),CONCATENATE("R1C",'Mapa final'!$O$12),"")</f>
        <v/>
      </c>
      <c r="AE26" s="61" t="str">
        <f>IF(AND('Mapa final'!$Y$13="Media",'Mapa final'!$AA$13="Mayor"),CONCATENATE("R1C",'Mapa final'!$O$13),"")</f>
        <v/>
      </c>
      <c r="AF26" s="61" t="str">
        <f>IF(AND('Mapa final'!$Y$14="Media",'Mapa final'!$AA$14="Mayor"),CONCATENATE("R1C",'Mapa final'!$O$14),"")</f>
        <v/>
      </c>
      <c r="AG26" s="62" t="str">
        <f>IF(AND('Mapa final'!$Y$15="Media",'Mapa final'!$AA$15="Mayor"),CONCATENATE("R1C",'Mapa final'!$O$15),"")</f>
        <v/>
      </c>
      <c r="AH26" s="63" t="str">
        <f>IF(AND('Mapa final'!$Y$10="Media",'Mapa final'!$AA$10="Catastrófico"),CONCATENATE("R1C",'Mapa final'!$O$10),"")</f>
        <v/>
      </c>
      <c r="AI26" s="64" t="str">
        <f>IF(AND('Mapa final'!$Y$11="Media",'Mapa final'!$AA$11="Catastrófico"),CONCATENATE("R1C",'Mapa final'!$O$11),"")</f>
        <v/>
      </c>
      <c r="AJ26" s="64" t="str">
        <f>IF(AND('Mapa final'!$Y$12="Media",'Mapa final'!$AA$12="Catastrófico"),CONCATENATE("R1C",'Mapa final'!$O$12),"")</f>
        <v/>
      </c>
      <c r="AK26" s="64" t="str">
        <f>IF(AND('Mapa final'!$Y$13="Media",'Mapa final'!$AA$13="Catastrófico"),CONCATENATE("R1C",'Mapa final'!$O$13),"")</f>
        <v/>
      </c>
      <c r="AL26" s="64" t="str">
        <f>IF(AND('Mapa final'!$Y$14="Media",'Mapa final'!$AA$14="Catastrófico"),CONCATENATE("R1C",'Mapa final'!$O$14),"")</f>
        <v/>
      </c>
      <c r="AM26" s="65" t="str">
        <f>IF(AND('Mapa final'!$Y$15="Media",'Mapa final'!$AA$15="Catastrófico"),CONCATENATE("R1C",'Mapa final'!$O$15),"")</f>
        <v/>
      </c>
      <c r="AN26" s="97"/>
      <c r="AO26" s="371" t="s">
        <v>81</v>
      </c>
      <c r="AP26" s="372"/>
      <c r="AQ26" s="372"/>
      <c r="AR26" s="372"/>
      <c r="AS26" s="372"/>
      <c r="AT26" s="373"/>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x14ac:dyDescent="0.25">
      <c r="A27" s="97"/>
      <c r="B27" s="246"/>
      <c r="C27" s="246"/>
      <c r="D27" s="247"/>
      <c r="E27" s="343"/>
      <c r="F27" s="344"/>
      <c r="G27" s="344"/>
      <c r="H27" s="344"/>
      <c r="I27" s="360"/>
      <c r="J27" s="81" t="str">
        <f>IF(AND('Mapa final'!$Y$16="Media",'Mapa final'!$AA$16="Leve"),CONCATENATE("R2C",'Mapa final'!$O$16),"")</f>
        <v/>
      </c>
      <c r="K27" s="82" t="str">
        <f>IF(AND('Mapa final'!$Y$17="Media",'Mapa final'!$AA$17="Leve"),CONCATENATE("R2C",'Mapa final'!$O$17),"")</f>
        <v/>
      </c>
      <c r="L27" s="82" t="str">
        <f>IF(AND('Mapa final'!$Y$18="Media",'Mapa final'!$AA$18="Leve"),CONCATENATE("R2C",'Mapa final'!$O$18),"")</f>
        <v/>
      </c>
      <c r="M27" s="82" t="str">
        <f>IF(AND('Mapa final'!$Y$19="Media",'Mapa final'!$AA$19="Leve"),CONCATENATE("R2C",'Mapa final'!$O$19),"")</f>
        <v/>
      </c>
      <c r="N27" s="82" t="str">
        <f>IF(AND('Mapa final'!$Y$20="Media",'Mapa final'!$AA$20="Leve"),CONCATENATE("R2C",'Mapa final'!$O$20),"")</f>
        <v/>
      </c>
      <c r="O27" s="83" t="str">
        <f>IF(AND('Mapa final'!$Y$21="Media",'Mapa final'!$AA$21="Leve"),CONCATENATE("R2C",'Mapa final'!$O$21),"")</f>
        <v/>
      </c>
      <c r="P27" s="81" t="str">
        <f>IF(AND('Mapa final'!$Y$16="Media",'Mapa final'!$AA$16="Menor"),CONCATENATE("R2C",'Mapa final'!$O$16),"")</f>
        <v/>
      </c>
      <c r="Q27" s="82" t="str">
        <f>IF(AND('Mapa final'!$Y$17="Media",'Mapa final'!$AA$17="Menor"),CONCATENATE("R2C",'Mapa final'!$O$17),"")</f>
        <v/>
      </c>
      <c r="R27" s="82" t="str">
        <f>IF(AND('Mapa final'!$Y$18="Media",'Mapa final'!$AA$18="Menor"),CONCATENATE("R2C",'Mapa final'!$O$18),"")</f>
        <v/>
      </c>
      <c r="S27" s="82" t="str">
        <f>IF(AND('Mapa final'!$Y$19="Media",'Mapa final'!$AA$19="Menor"),CONCATENATE("R2C",'Mapa final'!$O$19),"")</f>
        <v/>
      </c>
      <c r="T27" s="82" t="str">
        <f>IF(AND('Mapa final'!$Y$20="Media",'Mapa final'!$AA$20="Menor"),CONCATENATE("R2C",'Mapa final'!$O$20),"")</f>
        <v/>
      </c>
      <c r="U27" s="83" t="str">
        <f>IF(AND('Mapa final'!$Y$21="Media",'Mapa final'!$AA$21="Menor"),CONCATENATE("R2C",'Mapa final'!$O$21),"")</f>
        <v/>
      </c>
      <c r="V27" s="81" t="str">
        <f>IF(AND('Mapa final'!$Y$16="Media",'Mapa final'!$AA$16="Moderado"),CONCATENATE("R2C",'Mapa final'!$O$16),"")</f>
        <v/>
      </c>
      <c r="W27" s="82" t="str">
        <f>IF(AND('Mapa final'!$Y$17="Media",'Mapa final'!$AA$17="Moderado"),CONCATENATE("R2C",'Mapa final'!$O$17),"")</f>
        <v/>
      </c>
      <c r="X27" s="82" t="str">
        <f>IF(AND('Mapa final'!$Y$18="Media",'Mapa final'!$AA$18="Moderado"),CONCATENATE("R2C",'Mapa final'!$O$18),"")</f>
        <v/>
      </c>
      <c r="Y27" s="82" t="str">
        <f>IF(AND('Mapa final'!$Y$19="Media",'Mapa final'!$AA$19="Moderado"),CONCATENATE("R2C",'Mapa final'!$O$19),"")</f>
        <v/>
      </c>
      <c r="Z27" s="82" t="str">
        <f>IF(AND('Mapa final'!$Y$20="Media",'Mapa final'!$AA$20="Moderado"),CONCATENATE("R2C",'Mapa final'!$O$20),"")</f>
        <v/>
      </c>
      <c r="AA27" s="83" t="str">
        <f>IF(AND('Mapa final'!$Y$21="Media",'Mapa final'!$AA$21="Moderado"),CONCATENATE("R2C",'Mapa final'!$O$21),"")</f>
        <v/>
      </c>
      <c r="AB27" s="66" t="str">
        <f>IF(AND('Mapa final'!$Y$16="Media",'Mapa final'!$AA$16="Mayor"),CONCATENATE("R2C",'Mapa final'!$O$16),"")</f>
        <v/>
      </c>
      <c r="AC27" s="67" t="str">
        <f>IF(AND('Mapa final'!$Y$17="Media",'Mapa final'!$AA$17="Mayor"),CONCATENATE("R2C",'Mapa final'!$O$17),"")</f>
        <v/>
      </c>
      <c r="AD27" s="67" t="str">
        <f>IF(AND('Mapa final'!$Y$18="Media",'Mapa final'!$AA$18="Mayor"),CONCATENATE("R2C",'Mapa final'!$O$18),"")</f>
        <v/>
      </c>
      <c r="AE27" s="67" t="str">
        <f>IF(AND('Mapa final'!$Y$19="Media",'Mapa final'!$AA$19="Mayor"),CONCATENATE("R2C",'Mapa final'!$O$19),"")</f>
        <v/>
      </c>
      <c r="AF27" s="67" t="str">
        <f>IF(AND('Mapa final'!$Y$20="Media",'Mapa final'!$AA$20="Mayor"),CONCATENATE("R2C",'Mapa final'!$O$20),"")</f>
        <v/>
      </c>
      <c r="AG27" s="68" t="str">
        <f>IF(AND('Mapa final'!$Y$21="Media",'Mapa final'!$AA$21="Mayor"),CONCATENATE("R2C",'Mapa final'!$O$21),"")</f>
        <v/>
      </c>
      <c r="AH27" s="69" t="str">
        <f>IF(AND('Mapa final'!$Y$16="Media",'Mapa final'!$AA$16="Catastrófico"),CONCATENATE("R2C",'Mapa final'!$O$16),"")</f>
        <v/>
      </c>
      <c r="AI27" s="70" t="str">
        <f>IF(AND('Mapa final'!$Y$17="Media",'Mapa final'!$AA$17="Catastrófico"),CONCATENATE("R2C",'Mapa final'!$O$17),"")</f>
        <v/>
      </c>
      <c r="AJ27" s="70" t="str">
        <f>IF(AND('Mapa final'!$Y$18="Media",'Mapa final'!$AA$18="Catastrófico"),CONCATENATE("R2C",'Mapa final'!$O$18),"")</f>
        <v/>
      </c>
      <c r="AK27" s="70" t="str">
        <f>IF(AND('Mapa final'!$Y$19="Media",'Mapa final'!$AA$19="Catastrófico"),CONCATENATE("R2C",'Mapa final'!$O$19),"")</f>
        <v/>
      </c>
      <c r="AL27" s="70" t="str">
        <f>IF(AND('Mapa final'!$Y$20="Media",'Mapa final'!$AA$20="Catastrófico"),CONCATENATE("R2C",'Mapa final'!$O$20),"")</f>
        <v/>
      </c>
      <c r="AM27" s="71" t="str">
        <f>IF(AND('Mapa final'!$Y$21="Media",'Mapa final'!$AA$21="Catastrófico"),CONCATENATE("R2C",'Mapa final'!$O$21),"")</f>
        <v/>
      </c>
      <c r="AN27" s="97"/>
      <c r="AO27" s="374"/>
      <c r="AP27" s="375"/>
      <c r="AQ27" s="375"/>
      <c r="AR27" s="375"/>
      <c r="AS27" s="375"/>
      <c r="AT27" s="376"/>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x14ac:dyDescent="0.25">
      <c r="A28" s="97"/>
      <c r="B28" s="246"/>
      <c r="C28" s="246"/>
      <c r="D28" s="247"/>
      <c r="E28" s="345"/>
      <c r="F28" s="344"/>
      <c r="G28" s="344"/>
      <c r="H28" s="344"/>
      <c r="I28" s="360"/>
      <c r="J28" s="81" t="str">
        <f>IF(AND('Mapa final'!$Y$22="Media",'Mapa final'!$AA$22="Leve"),CONCATENATE("R3C",'Mapa final'!$O$22),"")</f>
        <v/>
      </c>
      <c r="K28" s="82" t="str">
        <f>IF(AND('Mapa final'!$Y$23="Media",'Mapa final'!$AA$23="Leve"),CONCATENATE("R3C",'Mapa final'!$O$23),"")</f>
        <v/>
      </c>
      <c r="L28" s="82" t="str">
        <f>IF(AND('Mapa final'!$Y$24="Media",'Mapa final'!$AA$24="Leve"),CONCATENATE("R3C",'Mapa final'!$O$24),"")</f>
        <v/>
      </c>
      <c r="M28" s="82" t="str">
        <f>IF(AND('Mapa final'!$Y$25="Media",'Mapa final'!$AA$25="Leve"),CONCATENATE("R3C",'Mapa final'!$O$25),"")</f>
        <v/>
      </c>
      <c r="N28" s="82" t="str">
        <f>IF(AND('Mapa final'!$Y$26="Media",'Mapa final'!$AA$26="Leve"),CONCATENATE("R3C",'Mapa final'!$O$26),"")</f>
        <v/>
      </c>
      <c r="O28" s="83" t="str">
        <f>IF(AND('Mapa final'!$Y$27="Media",'Mapa final'!$AA$27="Leve"),CONCATENATE("R3C",'Mapa final'!$O$27),"")</f>
        <v/>
      </c>
      <c r="P28" s="81" t="str">
        <f>IF(AND('Mapa final'!$Y$22="Media",'Mapa final'!$AA$22="Menor"),CONCATENATE("R3C",'Mapa final'!$O$22),"")</f>
        <v/>
      </c>
      <c r="Q28" s="82" t="str">
        <f>IF(AND('Mapa final'!$Y$23="Media",'Mapa final'!$AA$23="Menor"),CONCATENATE("R3C",'Mapa final'!$O$23),"")</f>
        <v/>
      </c>
      <c r="R28" s="82" t="str">
        <f>IF(AND('Mapa final'!$Y$24="Media",'Mapa final'!$AA$24="Menor"),CONCATENATE("R3C",'Mapa final'!$O$24),"")</f>
        <v/>
      </c>
      <c r="S28" s="82" t="str">
        <f>IF(AND('Mapa final'!$Y$25="Media",'Mapa final'!$AA$25="Menor"),CONCATENATE("R3C",'Mapa final'!$O$25),"")</f>
        <v/>
      </c>
      <c r="T28" s="82" t="str">
        <f>IF(AND('Mapa final'!$Y$26="Media",'Mapa final'!$AA$26="Menor"),CONCATENATE("R3C",'Mapa final'!$O$26),"")</f>
        <v/>
      </c>
      <c r="U28" s="83" t="str">
        <f>IF(AND('Mapa final'!$Y$27="Media",'Mapa final'!$AA$27="Menor"),CONCATENATE("R3C",'Mapa final'!$O$27),"")</f>
        <v/>
      </c>
      <c r="V28" s="81" t="str">
        <f>IF(AND('Mapa final'!$Y$22="Media",'Mapa final'!$AA$22="Moderado"),CONCATENATE("R3C",'Mapa final'!$O$22),"")</f>
        <v/>
      </c>
      <c r="W28" s="82" t="str">
        <f>IF(AND('Mapa final'!$Y$23="Media",'Mapa final'!$AA$23="Moderado"),CONCATENATE("R3C",'Mapa final'!$O$23),"")</f>
        <v/>
      </c>
      <c r="X28" s="82" t="str">
        <f>IF(AND('Mapa final'!$Y$24="Media",'Mapa final'!$AA$24="Moderado"),CONCATENATE("R3C",'Mapa final'!$O$24),"")</f>
        <v/>
      </c>
      <c r="Y28" s="82" t="str">
        <f>IF(AND('Mapa final'!$Y$25="Media",'Mapa final'!$AA$25="Moderado"),CONCATENATE("R3C",'Mapa final'!$O$25),"")</f>
        <v/>
      </c>
      <c r="Z28" s="82" t="str">
        <f>IF(AND('Mapa final'!$Y$26="Media",'Mapa final'!$AA$26="Moderado"),CONCATENATE("R3C",'Mapa final'!$O$26),"")</f>
        <v/>
      </c>
      <c r="AA28" s="83" t="str">
        <f>IF(AND('Mapa final'!$Y$27="Media",'Mapa final'!$AA$27="Moderado"),CONCATENATE("R3C",'Mapa final'!$O$27),"")</f>
        <v/>
      </c>
      <c r="AB28" s="66" t="str">
        <f>IF(AND('Mapa final'!$Y$22="Media",'Mapa final'!$AA$22="Mayor"),CONCATENATE("R3C",'Mapa final'!$O$22),"")</f>
        <v/>
      </c>
      <c r="AC28" s="67" t="str">
        <f>IF(AND('Mapa final'!$Y$23="Media",'Mapa final'!$AA$23="Mayor"),CONCATENATE("R3C",'Mapa final'!$O$23),"")</f>
        <v/>
      </c>
      <c r="AD28" s="67" t="str">
        <f>IF(AND('Mapa final'!$Y$24="Media",'Mapa final'!$AA$24="Mayor"),CONCATENATE("R3C",'Mapa final'!$O$24),"")</f>
        <v/>
      </c>
      <c r="AE28" s="67" t="str">
        <f>IF(AND('Mapa final'!$Y$25="Media",'Mapa final'!$AA$25="Mayor"),CONCATENATE("R3C",'Mapa final'!$O$25),"")</f>
        <v/>
      </c>
      <c r="AF28" s="67" t="str">
        <f>IF(AND('Mapa final'!$Y$26="Media",'Mapa final'!$AA$26="Mayor"),CONCATENATE("R3C",'Mapa final'!$O$26),"")</f>
        <v/>
      </c>
      <c r="AG28" s="68" t="str">
        <f>IF(AND('Mapa final'!$Y$27="Media",'Mapa final'!$AA$27="Mayor"),CONCATENATE("R3C",'Mapa final'!$O$27),"")</f>
        <v/>
      </c>
      <c r="AH28" s="69" t="str">
        <f>IF(AND('Mapa final'!$Y$22="Media",'Mapa final'!$AA$22="Catastrófico"),CONCATENATE("R3C",'Mapa final'!$O$22),"")</f>
        <v/>
      </c>
      <c r="AI28" s="70" t="str">
        <f>IF(AND('Mapa final'!$Y$23="Media",'Mapa final'!$AA$23="Catastrófico"),CONCATENATE("R3C",'Mapa final'!$O$23),"")</f>
        <v/>
      </c>
      <c r="AJ28" s="70" t="str">
        <f>IF(AND('Mapa final'!$Y$24="Media",'Mapa final'!$AA$24="Catastrófico"),CONCATENATE("R3C",'Mapa final'!$O$24),"")</f>
        <v/>
      </c>
      <c r="AK28" s="70" t="str">
        <f>IF(AND('Mapa final'!$Y$25="Media",'Mapa final'!$AA$25="Catastrófico"),CONCATENATE("R3C",'Mapa final'!$O$25),"")</f>
        <v/>
      </c>
      <c r="AL28" s="70" t="str">
        <f>IF(AND('Mapa final'!$Y$26="Media",'Mapa final'!$AA$26="Catastrófico"),CONCATENATE("R3C",'Mapa final'!$O$26),"")</f>
        <v/>
      </c>
      <c r="AM28" s="71" t="str">
        <f>IF(AND('Mapa final'!$Y$27="Media",'Mapa final'!$AA$27="Catastrófico"),CONCATENATE("R3C",'Mapa final'!$O$27),"")</f>
        <v/>
      </c>
      <c r="AN28" s="97"/>
      <c r="AO28" s="374"/>
      <c r="AP28" s="375"/>
      <c r="AQ28" s="375"/>
      <c r="AR28" s="375"/>
      <c r="AS28" s="375"/>
      <c r="AT28" s="376"/>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x14ac:dyDescent="0.25">
      <c r="A29" s="97"/>
      <c r="B29" s="246"/>
      <c r="C29" s="246"/>
      <c r="D29" s="247"/>
      <c r="E29" s="345"/>
      <c r="F29" s="344"/>
      <c r="G29" s="344"/>
      <c r="H29" s="344"/>
      <c r="I29" s="360"/>
      <c r="J29" s="81" t="str">
        <f>IF(AND('Mapa final'!$Y$28="Media",'Mapa final'!$AA$28="Leve"),CONCATENATE("R4C",'Mapa final'!$O$28),"")</f>
        <v/>
      </c>
      <c r="K29" s="82" t="str">
        <f>IF(AND('Mapa final'!$Y$29="Media",'Mapa final'!$AA$29="Leve"),CONCATENATE("R4C",'Mapa final'!$O$29),"")</f>
        <v/>
      </c>
      <c r="L29" s="82" t="str">
        <f>IF(AND('Mapa final'!$Y$30="Media",'Mapa final'!$AA$30="Leve"),CONCATENATE("R4C",'Mapa final'!$O$30),"")</f>
        <v/>
      </c>
      <c r="M29" s="82" t="str">
        <f>IF(AND('Mapa final'!$Y$31="Media",'Mapa final'!$AA$31="Leve"),CONCATENATE("R4C",'Mapa final'!$O$31),"")</f>
        <v/>
      </c>
      <c r="N29" s="82" t="str">
        <f>IF(AND('Mapa final'!$Y$32="Media",'Mapa final'!$AA$32="Leve"),CONCATENATE("R4C",'Mapa final'!$O$32),"")</f>
        <v/>
      </c>
      <c r="O29" s="83" t="str">
        <f>IF(AND('Mapa final'!$Y$33="Media",'Mapa final'!$AA$33="Leve"),CONCATENATE("R4C",'Mapa final'!$O$33),"")</f>
        <v/>
      </c>
      <c r="P29" s="81" t="str">
        <f>IF(AND('Mapa final'!$Y$28="Media",'Mapa final'!$AA$28="Menor"),CONCATENATE("R4C",'Mapa final'!$O$28),"")</f>
        <v/>
      </c>
      <c r="Q29" s="82" t="str">
        <f>IF(AND('Mapa final'!$Y$29="Media",'Mapa final'!$AA$29="Menor"),CONCATENATE("R4C",'Mapa final'!$O$29),"")</f>
        <v/>
      </c>
      <c r="R29" s="82" t="str">
        <f>IF(AND('Mapa final'!$Y$30="Media",'Mapa final'!$AA$30="Menor"),CONCATENATE("R4C",'Mapa final'!$O$30),"")</f>
        <v/>
      </c>
      <c r="S29" s="82" t="str">
        <f>IF(AND('Mapa final'!$Y$31="Media",'Mapa final'!$AA$31="Menor"),CONCATENATE("R4C",'Mapa final'!$O$31),"")</f>
        <v/>
      </c>
      <c r="T29" s="82" t="str">
        <f>IF(AND('Mapa final'!$Y$32="Media",'Mapa final'!$AA$32="Menor"),CONCATENATE("R4C",'Mapa final'!$O$32),"")</f>
        <v/>
      </c>
      <c r="U29" s="83" t="str">
        <f>IF(AND('Mapa final'!$Y$33="Media",'Mapa final'!$AA$33="Menor"),CONCATENATE("R4C",'Mapa final'!$O$33),"")</f>
        <v/>
      </c>
      <c r="V29" s="81" t="str">
        <f>IF(AND('Mapa final'!$Y$28="Media",'Mapa final'!$AA$28="Moderado"),CONCATENATE("R4C",'Mapa final'!$O$28),"")</f>
        <v/>
      </c>
      <c r="W29" s="82" t="str">
        <f>IF(AND('Mapa final'!$Y$29="Media",'Mapa final'!$AA$29="Moderado"),CONCATENATE("R4C",'Mapa final'!$O$29),"")</f>
        <v/>
      </c>
      <c r="X29" s="82" t="str">
        <f>IF(AND('Mapa final'!$Y$30="Media",'Mapa final'!$AA$30="Moderado"),CONCATENATE("R4C",'Mapa final'!$O$30),"")</f>
        <v/>
      </c>
      <c r="Y29" s="82" t="str">
        <f>IF(AND('Mapa final'!$Y$31="Media",'Mapa final'!$AA$31="Moderado"),CONCATENATE("R4C",'Mapa final'!$O$31),"")</f>
        <v/>
      </c>
      <c r="Z29" s="82" t="str">
        <f>IF(AND('Mapa final'!$Y$32="Media",'Mapa final'!$AA$32="Moderado"),CONCATENATE("R4C",'Mapa final'!$O$32),"")</f>
        <v/>
      </c>
      <c r="AA29" s="83" t="str">
        <f>IF(AND('Mapa final'!$Y$33="Media",'Mapa final'!$AA$33="Moderado"),CONCATENATE("R4C",'Mapa final'!$O$33),"")</f>
        <v/>
      </c>
      <c r="AB29" s="66" t="str">
        <f>IF(AND('Mapa final'!$Y$28="Media",'Mapa final'!$AA$28="Mayor"),CONCATENATE("R4C",'Mapa final'!$O$28),"")</f>
        <v/>
      </c>
      <c r="AC29" s="67" t="str">
        <f>IF(AND('Mapa final'!$Y$29="Media",'Mapa final'!$AA$29="Mayor"),CONCATENATE("R4C",'Mapa final'!$O$29),"")</f>
        <v/>
      </c>
      <c r="AD29" s="67" t="str">
        <f>IF(AND('Mapa final'!$Y$30="Media",'Mapa final'!$AA$30="Mayor"),CONCATENATE("R4C",'Mapa final'!$O$30),"")</f>
        <v/>
      </c>
      <c r="AE29" s="67" t="str">
        <f>IF(AND('Mapa final'!$Y$31="Media",'Mapa final'!$AA$31="Mayor"),CONCATENATE("R4C",'Mapa final'!$O$31),"")</f>
        <v/>
      </c>
      <c r="AF29" s="67" t="str">
        <f>IF(AND('Mapa final'!$Y$32="Media",'Mapa final'!$AA$32="Mayor"),CONCATENATE("R4C",'Mapa final'!$O$32),"")</f>
        <v/>
      </c>
      <c r="AG29" s="68" t="str">
        <f>IF(AND('Mapa final'!$Y$33="Media",'Mapa final'!$AA$33="Mayor"),CONCATENATE("R4C",'Mapa final'!$O$33),"")</f>
        <v/>
      </c>
      <c r="AH29" s="69" t="str">
        <f>IF(AND('Mapa final'!$Y$28="Media",'Mapa final'!$AA$28="Catastrófico"),CONCATENATE("R4C",'Mapa final'!$O$28),"")</f>
        <v/>
      </c>
      <c r="AI29" s="70" t="str">
        <f>IF(AND('Mapa final'!$Y$29="Media",'Mapa final'!$AA$29="Catastrófico"),CONCATENATE("R4C",'Mapa final'!$O$29),"")</f>
        <v/>
      </c>
      <c r="AJ29" s="70" t="str">
        <f>IF(AND('Mapa final'!$Y$30="Media",'Mapa final'!$AA$30="Catastrófico"),CONCATENATE("R4C",'Mapa final'!$O$30),"")</f>
        <v/>
      </c>
      <c r="AK29" s="70" t="str">
        <f>IF(AND('Mapa final'!$Y$31="Media",'Mapa final'!$AA$31="Catastrófico"),CONCATENATE("R4C",'Mapa final'!$O$31),"")</f>
        <v/>
      </c>
      <c r="AL29" s="70" t="str">
        <f>IF(AND('Mapa final'!$Y$32="Media",'Mapa final'!$AA$32="Catastrófico"),CONCATENATE("R4C",'Mapa final'!$O$32),"")</f>
        <v/>
      </c>
      <c r="AM29" s="71" t="str">
        <f>IF(AND('Mapa final'!$Y$33="Media",'Mapa final'!$AA$33="Catastrófico"),CONCATENATE("R4C",'Mapa final'!$O$33),"")</f>
        <v/>
      </c>
      <c r="AN29" s="97"/>
      <c r="AO29" s="374"/>
      <c r="AP29" s="375"/>
      <c r="AQ29" s="375"/>
      <c r="AR29" s="375"/>
      <c r="AS29" s="375"/>
      <c r="AT29" s="376"/>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x14ac:dyDescent="0.25">
      <c r="A30" s="97"/>
      <c r="B30" s="246"/>
      <c r="C30" s="246"/>
      <c r="D30" s="247"/>
      <c r="E30" s="345"/>
      <c r="F30" s="344"/>
      <c r="G30" s="344"/>
      <c r="H30" s="344"/>
      <c r="I30" s="360"/>
      <c r="J30" s="81" t="str">
        <f>IF(AND('Mapa final'!$Y$34="Media",'Mapa final'!$AA$34="Leve"),CONCATENATE("R5C",'Mapa final'!$O$34),"")</f>
        <v/>
      </c>
      <c r="K30" s="82" t="str">
        <f>IF(AND('Mapa final'!$Y$35="Media",'Mapa final'!$AA$35="Leve"),CONCATENATE("R5C",'Mapa final'!$O$35),"")</f>
        <v/>
      </c>
      <c r="L30" s="82" t="str">
        <f>IF(AND('Mapa final'!$Y$36="Media",'Mapa final'!$AA$36="Leve"),CONCATENATE("R5C",'Mapa final'!$O$36),"")</f>
        <v/>
      </c>
      <c r="M30" s="82" t="str">
        <f>IF(AND('Mapa final'!$Y$37="Media",'Mapa final'!$AA$37="Leve"),CONCATENATE("R5C",'Mapa final'!$O$37),"")</f>
        <v/>
      </c>
      <c r="N30" s="82" t="str">
        <f>IF(AND('Mapa final'!$Y$38="Media",'Mapa final'!$AA$38="Leve"),CONCATENATE("R5C",'Mapa final'!$O$38),"")</f>
        <v/>
      </c>
      <c r="O30" s="83" t="str">
        <f>IF(AND('Mapa final'!$Y$39="Media",'Mapa final'!$AA$39="Leve"),CONCATENATE("R5C",'Mapa final'!$O$39),"")</f>
        <v/>
      </c>
      <c r="P30" s="81" t="str">
        <f>IF(AND('Mapa final'!$Y$34="Media",'Mapa final'!$AA$34="Menor"),CONCATENATE("R5C",'Mapa final'!$O$34),"")</f>
        <v/>
      </c>
      <c r="Q30" s="82" t="str">
        <f>IF(AND('Mapa final'!$Y$35="Media",'Mapa final'!$AA$35="Menor"),CONCATENATE("R5C",'Mapa final'!$O$35),"")</f>
        <v/>
      </c>
      <c r="R30" s="82" t="str">
        <f>IF(AND('Mapa final'!$Y$36="Media",'Mapa final'!$AA$36="Menor"),CONCATENATE("R5C",'Mapa final'!$O$36),"")</f>
        <v/>
      </c>
      <c r="S30" s="82" t="str">
        <f>IF(AND('Mapa final'!$Y$37="Media",'Mapa final'!$AA$37="Menor"),CONCATENATE("R5C",'Mapa final'!$O$37),"")</f>
        <v/>
      </c>
      <c r="T30" s="82" t="str">
        <f>IF(AND('Mapa final'!$Y$38="Media",'Mapa final'!$AA$38="Menor"),CONCATENATE("R5C",'Mapa final'!$O$38),"")</f>
        <v/>
      </c>
      <c r="U30" s="83" t="str">
        <f>IF(AND('Mapa final'!$Y$39="Media",'Mapa final'!$AA$39="Menor"),CONCATENATE("R5C",'Mapa final'!$O$39),"")</f>
        <v/>
      </c>
      <c r="V30" s="81" t="str">
        <f>IF(AND('Mapa final'!$Y$34="Media",'Mapa final'!$AA$34="Moderado"),CONCATENATE("R5C",'Mapa final'!$O$34),"")</f>
        <v/>
      </c>
      <c r="W30" s="82" t="str">
        <f>IF(AND('Mapa final'!$Y$35="Media",'Mapa final'!$AA$35="Moderado"),CONCATENATE("R5C",'Mapa final'!$O$35),"")</f>
        <v/>
      </c>
      <c r="X30" s="82" t="str">
        <f>IF(AND('Mapa final'!$Y$36="Media",'Mapa final'!$AA$36="Moderado"),CONCATENATE("R5C",'Mapa final'!$O$36),"")</f>
        <v/>
      </c>
      <c r="Y30" s="82" t="str">
        <f>IF(AND('Mapa final'!$Y$37="Media",'Mapa final'!$AA$37="Moderado"),CONCATENATE("R5C",'Mapa final'!$O$37),"")</f>
        <v/>
      </c>
      <c r="Z30" s="82" t="str">
        <f>IF(AND('Mapa final'!$Y$38="Media",'Mapa final'!$AA$38="Moderado"),CONCATENATE("R5C",'Mapa final'!$O$38),"")</f>
        <v/>
      </c>
      <c r="AA30" s="83" t="str">
        <f>IF(AND('Mapa final'!$Y$39="Media",'Mapa final'!$AA$39="Moderado"),CONCATENATE("R5C",'Mapa final'!$O$39),"")</f>
        <v/>
      </c>
      <c r="AB30" s="66" t="str">
        <f>IF(AND('Mapa final'!$Y$34="Media",'Mapa final'!$AA$34="Mayor"),CONCATENATE("R5C",'Mapa final'!$O$34),"")</f>
        <v/>
      </c>
      <c r="AC30" s="67" t="str">
        <f>IF(AND('Mapa final'!$Y$35="Media",'Mapa final'!$AA$35="Mayor"),CONCATENATE("R5C",'Mapa final'!$O$35),"")</f>
        <v/>
      </c>
      <c r="AD30" s="67" t="str">
        <f>IF(AND('Mapa final'!$Y$36="Media",'Mapa final'!$AA$36="Mayor"),CONCATENATE("R5C",'Mapa final'!$O$36),"")</f>
        <v/>
      </c>
      <c r="AE30" s="67" t="str">
        <f>IF(AND('Mapa final'!$Y$37="Media",'Mapa final'!$AA$37="Mayor"),CONCATENATE("R5C",'Mapa final'!$O$37),"")</f>
        <v/>
      </c>
      <c r="AF30" s="67" t="str">
        <f>IF(AND('Mapa final'!$Y$38="Media",'Mapa final'!$AA$38="Mayor"),CONCATENATE("R5C",'Mapa final'!$O$38),"")</f>
        <v/>
      </c>
      <c r="AG30" s="68" t="str">
        <f>IF(AND('Mapa final'!$Y$39="Media",'Mapa final'!$AA$39="Mayor"),CONCATENATE("R5C",'Mapa final'!$O$39),"")</f>
        <v/>
      </c>
      <c r="AH30" s="69" t="str">
        <f>IF(AND('Mapa final'!$Y$34="Media",'Mapa final'!$AA$34="Catastrófico"),CONCATENATE("R5C",'Mapa final'!$O$34),"")</f>
        <v/>
      </c>
      <c r="AI30" s="70" t="str">
        <f>IF(AND('Mapa final'!$Y$35="Media",'Mapa final'!$AA$35="Catastrófico"),CONCATENATE("R5C",'Mapa final'!$O$35),"")</f>
        <v/>
      </c>
      <c r="AJ30" s="70" t="str">
        <f>IF(AND('Mapa final'!$Y$36="Media",'Mapa final'!$AA$36="Catastrófico"),CONCATENATE("R5C",'Mapa final'!$O$36),"")</f>
        <v/>
      </c>
      <c r="AK30" s="70" t="str">
        <f>IF(AND('Mapa final'!$Y$37="Media",'Mapa final'!$AA$37="Catastrófico"),CONCATENATE("R5C",'Mapa final'!$O$37),"")</f>
        <v/>
      </c>
      <c r="AL30" s="70" t="str">
        <f>IF(AND('Mapa final'!$Y$38="Media",'Mapa final'!$AA$38="Catastrófico"),CONCATENATE("R5C",'Mapa final'!$O$38),"")</f>
        <v/>
      </c>
      <c r="AM30" s="71" t="str">
        <f>IF(AND('Mapa final'!$Y$39="Media",'Mapa final'!$AA$39="Catastrófico"),CONCATENATE("R5C",'Mapa final'!$O$39),"")</f>
        <v/>
      </c>
      <c r="AN30" s="97"/>
      <c r="AO30" s="374"/>
      <c r="AP30" s="375"/>
      <c r="AQ30" s="375"/>
      <c r="AR30" s="375"/>
      <c r="AS30" s="375"/>
      <c r="AT30" s="376"/>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x14ac:dyDescent="0.25">
      <c r="A31" s="97"/>
      <c r="B31" s="246"/>
      <c r="C31" s="246"/>
      <c r="D31" s="247"/>
      <c r="E31" s="345"/>
      <c r="F31" s="344"/>
      <c r="G31" s="344"/>
      <c r="H31" s="344"/>
      <c r="I31" s="360"/>
      <c r="J31" s="81" t="str">
        <f>IF(AND('Mapa final'!$Y$40="Media",'Mapa final'!$AA$40="Leve"),CONCATENATE("R6C",'Mapa final'!$O$40),"")</f>
        <v/>
      </c>
      <c r="K31" s="82" t="str">
        <f>IF(AND('Mapa final'!$Y$41="Media",'Mapa final'!$AA$41="Leve"),CONCATENATE("R6C",'Mapa final'!$O$41),"")</f>
        <v/>
      </c>
      <c r="L31" s="82" t="str">
        <f>IF(AND('Mapa final'!$Y$42="Media",'Mapa final'!$AA$42="Leve"),CONCATENATE("R6C",'Mapa final'!$O$42),"")</f>
        <v/>
      </c>
      <c r="M31" s="82" t="str">
        <f>IF(AND('Mapa final'!$Y$43="Media",'Mapa final'!$AA$43="Leve"),CONCATENATE("R6C",'Mapa final'!$O$43),"")</f>
        <v/>
      </c>
      <c r="N31" s="82" t="str">
        <f>IF(AND('Mapa final'!$Y$44="Media",'Mapa final'!$AA$44="Leve"),CONCATENATE("R6C",'Mapa final'!$O$44),"")</f>
        <v/>
      </c>
      <c r="O31" s="83" t="str">
        <f>IF(AND('Mapa final'!$Y$45="Media",'Mapa final'!$AA$45="Leve"),CONCATENATE("R6C",'Mapa final'!$O$45),"")</f>
        <v/>
      </c>
      <c r="P31" s="81" t="str">
        <f>IF(AND('Mapa final'!$Y$40="Media",'Mapa final'!$AA$40="Menor"),CONCATENATE("R6C",'Mapa final'!$O$40),"")</f>
        <v/>
      </c>
      <c r="Q31" s="82" t="str">
        <f>IF(AND('Mapa final'!$Y$41="Media",'Mapa final'!$AA$41="Menor"),CONCATENATE("R6C",'Mapa final'!$O$41),"")</f>
        <v/>
      </c>
      <c r="R31" s="82" t="str">
        <f>IF(AND('Mapa final'!$Y$42="Media",'Mapa final'!$AA$42="Menor"),CONCATENATE("R6C",'Mapa final'!$O$42),"")</f>
        <v/>
      </c>
      <c r="S31" s="82" t="str">
        <f>IF(AND('Mapa final'!$Y$43="Media",'Mapa final'!$AA$43="Menor"),CONCATENATE("R6C",'Mapa final'!$O$43),"")</f>
        <v/>
      </c>
      <c r="T31" s="82" t="str">
        <f>IF(AND('Mapa final'!$Y$44="Media",'Mapa final'!$AA$44="Menor"),CONCATENATE("R6C",'Mapa final'!$O$44),"")</f>
        <v/>
      </c>
      <c r="U31" s="83" t="str">
        <f>IF(AND('Mapa final'!$Y$45="Media",'Mapa final'!$AA$45="Menor"),CONCATENATE("R6C",'Mapa final'!$O$45),"")</f>
        <v/>
      </c>
      <c r="V31" s="81" t="str">
        <f>IF(AND('Mapa final'!$Y$40="Media",'Mapa final'!$AA$40="Moderado"),CONCATENATE("R6C",'Mapa final'!$O$40),"")</f>
        <v/>
      </c>
      <c r="W31" s="82" t="str">
        <f>IF(AND('Mapa final'!$Y$41="Media",'Mapa final'!$AA$41="Moderado"),CONCATENATE("R6C",'Mapa final'!$O$41),"")</f>
        <v/>
      </c>
      <c r="X31" s="82" t="str">
        <f>IF(AND('Mapa final'!$Y$42="Media",'Mapa final'!$AA$42="Moderado"),CONCATENATE("R6C",'Mapa final'!$O$42),"")</f>
        <v/>
      </c>
      <c r="Y31" s="82" t="str">
        <f>IF(AND('Mapa final'!$Y$43="Media",'Mapa final'!$AA$43="Moderado"),CONCATENATE("R6C",'Mapa final'!$O$43),"")</f>
        <v/>
      </c>
      <c r="Z31" s="82" t="str">
        <f>IF(AND('Mapa final'!$Y$44="Media",'Mapa final'!$AA$44="Moderado"),CONCATENATE("R6C",'Mapa final'!$O$44),"")</f>
        <v/>
      </c>
      <c r="AA31" s="83" t="str">
        <f>IF(AND('Mapa final'!$Y$45="Media",'Mapa final'!$AA$45="Moderado"),CONCATENATE("R6C",'Mapa final'!$O$45),"")</f>
        <v/>
      </c>
      <c r="AB31" s="66" t="str">
        <f>IF(AND('Mapa final'!$Y$40="Media",'Mapa final'!$AA$40="Mayor"),CONCATENATE("R6C",'Mapa final'!$O$40),"")</f>
        <v/>
      </c>
      <c r="AC31" s="67" t="str">
        <f>IF(AND('Mapa final'!$Y$41="Media",'Mapa final'!$AA$41="Mayor"),CONCATENATE("R6C",'Mapa final'!$O$41),"")</f>
        <v/>
      </c>
      <c r="AD31" s="67" t="str">
        <f>IF(AND('Mapa final'!$Y$42="Media",'Mapa final'!$AA$42="Mayor"),CONCATENATE("R6C",'Mapa final'!$O$42),"")</f>
        <v/>
      </c>
      <c r="AE31" s="67" t="str">
        <f>IF(AND('Mapa final'!$Y$43="Media",'Mapa final'!$AA$43="Mayor"),CONCATENATE("R6C",'Mapa final'!$O$43),"")</f>
        <v/>
      </c>
      <c r="AF31" s="67" t="str">
        <f>IF(AND('Mapa final'!$Y$44="Media",'Mapa final'!$AA$44="Mayor"),CONCATENATE("R6C",'Mapa final'!$O$44),"")</f>
        <v/>
      </c>
      <c r="AG31" s="68" t="str">
        <f>IF(AND('Mapa final'!$Y$45="Media",'Mapa final'!$AA$45="Mayor"),CONCATENATE("R6C",'Mapa final'!$O$45),"")</f>
        <v/>
      </c>
      <c r="AH31" s="69" t="str">
        <f>IF(AND('Mapa final'!$Y$40="Media",'Mapa final'!$AA$40="Catastrófico"),CONCATENATE("R6C",'Mapa final'!$O$40),"")</f>
        <v/>
      </c>
      <c r="AI31" s="70" t="str">
        <f>IF(AND('Mapa final'!$Y$41="Media",'Mapa final'!$AA$41="Catastrófico"),CONCATENATE("R6C",'Mapa final'!$O$41),"")</f>
        <v/>
      </c>
      <c r="AJ31" s="70" t="str">
        <f>IF(AND('Mapa final'!$Y$42="Media",'Mapa final'!$AA$42="Catastrófico"),CONCATENATE("R6C",'Mapa final'!$O$42),"")</f>
        <v/>
      </c>
      <c r="AK31" s="70" t="str">
        <f>IF(AND('Mapa final'!$Y$43="Media",'Mapa final'!$AA$43="Catastrófico"),CONCATENATE("R6C",'Mapa final'!$O$43),"")</f>
        <v/>
      </c>
      <c r="AL31" s="70" t="str">
        <f>IF(AND('Mapa final'!$Y$44="Media",'Mapa final'!$AA$44="Catastrófico"),CONCATENATE("R6C",'Mapa final'!$O$44),"")</f>
        <v/>
      </c>
      <c r="AM31" s="71" t="str">
        <f>IF(AND('Mapa final'!$Y$45="Media",'Mapa final'!$AA$45="Catastrófico"),CONCATENATE("R6C",'Mapa final'!$O$45),"")</f>
        <v/>
      </c>
      <c r="AN31" s="97"/>
      <c r="AO31" s="374"/>
      <c r="AP31" s="375"/>
      <c r="AQ31" s="375"/>
      <c r="AR31" s="375"/>
      <c r="AS31" s="375"/>
      <c r="AT31" s="376"/>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x14ac:dyDescent="0.25">
      <c r="A32" s="97"/>
      <c r="B32" s="246"/>
      <c r="C32" s="246"/>
      <c r="D32" s="247"/>
      <c r="E32" s="345"/>
      <c r="F32" s="344"/>
      <c r="G32" s="344"/>
      <c r="H32" s="344"/>
      <c r="I32" s="360"/>
      <c r="J32" s="81" t="str">
        <f>IF(AND('Mapa final'!$Y$46="Media",'Mapa final'!$AA$46="Leve"),CONCATENATE("R7C",'Mapa final'!$O$46),"")</f>
        <v/>
      </c>
      <c r="K32" s="82" t="str">
        <f>IF(AND('Mapa final'!$Y$47="Media",'Mapa final'!$AA$47="Leve"),CONCATENATE("R7C",'Mapa final'!$O$47),"")</f>
        <v/>
      </c>
      <c r="L32" s="82" t="str">
        <f>IF(AND('Mapa final'!$Y$48="Media",'Mapa final'!$AA$48="Leve"),CONCATENATE("R7C",'Mapa final'!$O$48),"")</f>
        <v/>
      </c>
      <c r="M32" s="82" t="str">
        <f>IF(AND('Mapa final'!$Y$49="Media",'Mapa final'!$AA$49="Leve"),CONCATENATE("R7C",'Mapa final'!$O$49),"")</f>
        <v/>
      </c>
      <c r="N32" s="82" t="str">
        <f>IF(AND('Mapa final'!$Y$50="Media",'Mapa final'!$AA$50="Leve"),CONCATENATE("R7C",'Mapa final'!$O$50),"")</f>
        <v/>
      </c>
      <c r="O32" s="83" t="str">
        <f>IF(AND('Mapa final'!$Y$51="Media",'Mapa final'!$AA$51="Leve"),CONCATENATE("R7C",'Mapa final'!$O$51),"")</f>
        <v/>
      </c>
      <c r="P32" s="81" t="str">
        <f>IF(AND('Mapa final'!$Y$46="Media",'Mapa final'!$AA$46="Menor"),CONCATENATE("R7C",'Mapa final'!$O$46),"")</f>
        <v/>
      </c>
      <c r="Q32" s="82" t="str">
        <f>IF(AND('Mapa final'!$Y$47="Media",'Mapa final'!$AA$47="Menor"),CONCATENATE("R7C",'Mapa final'!$O$47),"")</f>
        <v/>
      </c>
      <c r="R32" s="82" t="str">
        <f>IF(AND('Mapa final'!$Y$48="Media",'Mapa final'!$AA$48="Menor"),CONCATENATE("R7C",'Mapa final'!$O$48),"")</f>
        <v/>
      </c>
      <c r="S32" s="82" t="str">
        <f>IF(AND('Mapa final'!$Y$49="Media",'Mapa final'!$AA$49="Menor"),CONCATENATE("R7C",'Mapa final'!$O$49),"")</f>
        <v/>
      </c>
      <c r="T32" s="82" t="str">
        <f>IF(AND('Mapa final'!$Y$50="Media",'Mapa final'!$AA$50="Menor"),CONCATENATE("R7C",'Mapa final'!$O$50),"")</f>
        <v/>
      </c>
      <c r="U32" s="83" t="str">
        <f>IF(AND('Mapa final'!$Y$51="Media",'Mapa final'!$AA$51="Menor"),CONCATENATE("R7C",'Mapa final'!$O$51),"")</f>
        <v/>
      </c>
      <c r="V32" s="81" t="str">
        <f>IF(AND('Mapa final'!$Y$46="Media",'Mapa final'!$AA$46="Moderado"),CONCATENATE("R7C",'Mapa final'!$O$46),"")</f>
        <v/>
      </c>
      <c r="W32" s="82" t="str">
        <f>IF(AND('Mapa final'!$Y$47="Media",'Mapa final'!$AA$47="Moderado"),CONCATENATE("R7C",'Mapa final'!$O$47),"")</f>
        <v/>
      </c>
      <c r="X32" s="82" t="str">
        <f>IF(AND('Mapa final'!$Y$48="Media",'Mapa final'!$AA$48="Moderado"),CONCATENATE("R7C",'Mapa final'!$O$48),"")</f>
        <v/>
      </c>
      <c r="Y32" s="82" t="str">
        <f>IF(AND('Mapa final'!$Y$49="Media",'Mapa final'!$AA$49="Moderado"),CONCATENATE("R7C",'Mapa final'!$O$49),"")</f>
        <v/>
      </c>
      <c r="Z32" s="82" t="str">
        <f>IF(AND('Mapa final'!$Y$50="Media",'Mapa final'!$AA$50="Moderado"),CONCATENATE("R7C",'Mapa final'!$O$50),"")</f>
        <v/>
      </c>
      <c r="AA32" s="83" t="str">
        <f>IF(AND('Mapa final'!$Y$51="Media",'Mapa final'!$AA$51="Moderado"),CONCATENATE("R7C",'Mapa final'!$O$51),"")</f>
        <v/>
      </c>
      <c r="AB32" s="66" t="str">
        <f>IF(AND('Mapa final'!$Y$46="Media",'Mapa final'!$AA$46="Mayor"),CONCATENATE("R7C",'Mapa final'!$O$46),"")</f>
        <v/>
      </c>
      <c r="AC32" s="67" t="str">
        <f>IF(AND('Mapa final'!$Y$47="Media",'Mapa final'!$AA$47="Mayor"),CONCATENATE("R7C",'Mapa final'!$O$47),"")</f>
        <v/>
      </c>
      <c r="AD32" s="67" t="str">
        <f>IF(AND('Mapa final'!$Y$48="Media",'Mapa final'!$AA$48="Mayor"),CONCATENATE("R7C",'Mapa final'!$O$48),"")</f>
        <v/>
      </c>
      <c r="AE32" s="67" t="str">
        <f>IF(AND('Mapa final'!$Y$49="Media",'Mapa final'!$AA$49="Mayor"),CONCATENATE("R7C",'Mapa final'!$O$49),"")</f>
        <v/>
      </c>
      <c r="AF32" s="67" t="str">
        <f>IF(AND('Mapa final'!$Y$50="Media",'Mapa final'!$AA$50="Mayor"),CONCATENATE("R7C",'Mapa final'!$O$50),"")</f>
        <v/>
      </c>
      <c r="AG32" s="68" t="str">
        <f>IF(AND('Mapa final'!$Y$51="Media",'Mapa final'!$AA$51="Mayor"),CONCATENATE("R7C",'Mapa final'!$O$51),"")</f>
        <v/>
      </c>
      <c r="AH32" s="69" t="str">
        <f>IF(AND('Mapa final'!$Y$46="Media",'Mapa final'!$AA$46="Catastrófico"),CONCATENATE("R7C",'Mapa final'!$O$46),"")</f>
        <v/>
      </c>
      <c r="AI32" s="70" t="str">
        <f>IF(AND('Mapa final'!$Y$47="Media",'Mapa final'!$AA$47="Catastrófico"),CONCATENATE("R7C",'Mapa final'!$O$47),"")</f>
        <v/>
      </c>
      <c r="AJ32" s="70" t="str">
        <f>IF(AND('Mapa final'!$Y$48="Media",'Mapa final'!$AA$48="Catastrófico"),CONCATENATE("R7C",'Mapa final'!$O$48),"")</f>
        <v/>
      </c>
      <c r="AK32" s="70" t="str">
        <f>IF(AND('Mapa final'!$Y$49="Media",'Mapa final'!$AA$49="Catastrófico"),CONCATENATE("R7C",'Mapa final'!$O$49),"")</f>
        <v/>
      </c>
      <c r="AL32" s="70" t="str">
        <f>IF(AND('Mapa final'!$Y$50="Media",'Mapa final'!$AA$50="Catastrófico"),CONCATENATE("R7C",'Mapa final'!$O$50),"")</f>
        <v/>
      </c>
      <c r="AM32" s="71" t="str">
        <f>IF(AND('Mapa final'!$Y$51="Media",'Mapa final'!$AA$51="Catastrófico"),CONCATENATE("R7C",'Mapa final'!$O$51),"")</f>
        <v/>
      </c>
      <c r="AN32" s="97"/>
      <c r="AO32" s="374"/>
      <c r="AP32" s="375"/>
      <c r="AQ32" s="375"/>
      <c r="AR32" s="375"/>
      <c r="AS32" s="375"/>
      <c r="AT32" s="376"/>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x14ac:dyDescent="0.25">
      <c r="A33" s="97"/>
      <c r="B33" s="246"/>
      <c r="C33" s="246"/>
      <c r="D33" s="247"/>
      <c r="E33" s="345"/>
      <c r="F33" s="344"/>
      <c r="G33" s="344"/>
      <c r="H33" s="344"/>
      <c r="I33" s="360"/>
      <c r="J33" s="81" t="str">
        <f>IF(AND('Mapa final'!$Y$52="Media",'Mapa final'!$AA$52="Leve"),CONCATENATE("R8C",'Mapa final'!$O$52),"")</f>
        <v/>
      </c>
      <c r="K33" s="82" t="str">
        <f>IF(AND('Mapa final'!$Y$53="Media",'Mapa final'!$AA$53="Leve"),CONCATENATE("R8C",'Mapa final'!$O$53),"")</f>
        <v/>
      </c>
      <c r="L33" s="82" t="str">
        <f>IF(AND('Mapa final'!$Y$54="Media",'Mapa final'!$AA$54="Leve"),CONCATENATE("R8C",'Mapa final'!$O$54),"")</f>
        <v/>
      </c>
      <c r="M33" s="82" t="str">
        <f>IF(AND('Mapa final'!$Y$55="Media",'Mapa final'!$AA$55="Leve"),CONCATENATE("R8C",'Mapa final'!$O$55),"")</f>
        <v/>
      </c>
      <c r="N33" s="82" t="str">
        <f>IF(AND('Mapa final'!$Y$56="Media",'Mapa final'!$AA$56="Leve"),CONCATENATE("R8C",'Mapa final'!$O$56),"")</f>
        <v/>
      </c>
      <c r="O33" s="83" t="str">
        <f>IF(AND('Mapa final'!$Y$57="Media",'Mapa final'!$AA$57="Leve"),CONCATENATE("R8C",'Mapa final'!$O$57),"")</f>
        <v/>
      </c>
      <c r="P33" s="81" t="str">
        <f>IF(AND('Mapa final'!$Y$52="Media",'Mapa final'!$AA$52="Menor"),CONCATENATE("R8C",'Mapa final'!$O$52),"")</f>
        <v/>
      </c>
      <c r="Q33" s="82" t="str">
        <f>IF(AND('Mapa final'!$Y$53="Media",'Mapa final'!$AA$53="Menor"),CONCATENATE("R8C",'Mapa final'!$O$53),"")</f>
        <v/>
      </c>
      <c r="R33" s="82" t="str">
        <f>IF(AND('Mapa final'!$Y$54="Media",'Mapa final'!$AA$54="Menor"),CONCATENATE("R8C",'Mapa final'!$O$54),"")</f>
        <v/>
      </c>
      <c r="S33" s="82" t="str">
        <f>IF(AND('Mapa final'!$Y$55="Media",'Mapa final'!$AA$55="Menor"),CONCATENATE("R8C",'Mapa final'!$O$55),"")</f>
        <v/>
      </c>
      <c r="T33" s="82" t="str">
        <f>IF(AND('Mapa final'!$Y$56="Media",'Mapa final'!$AA$56="Menor"),CONCATENATE("R8C",'Mapa final'!$O$56),"")</f>
        <v/>
      </c>
      <c r="U33" s="83" t="str">
        <f>IF(AND('Mapa final'!$Y$57="Media",'Mapa final'!$AA$57="Menor"),CONCATENATE("R8C",'Mapa final'!$O$57),"")</f>
        <v/>
      </c>
      <c r="V33" s="81" t="str">
        <f>IF(AND('Mapa final'!$Y$52="Media",'Mapa final'!$AA$52="Moderado"),CONCATENATE("R8C",'Mapa final'!$O$52),"")</f>
        <v/>
      </c>
      <c r="W33" s="82" t="str">
        <f>IF(AND('Mapa final'!$Y$53="Media",'Mapa final'!$AA$53="Moderado"),CONCATENATE("R8C",'Mapa final'!$O$53),"")</f>
        <v/>
      </c>
      <c r="X33" s="82" t="str">
        <f>IF(AND('Mapa final'!$Y$54="Media",'Mapa final'!$AA$54="Moderado"),CONCATENATE("R8C",'Mapa final'!$O$54),"")</f>
        <v/>
      </c>
      <c r="Y33" s="82" t="str">
        <f>IF(AND('Mapa final'!$Y$55="Media",'Mapa final'!$AA$55="Moderado"),CONCATENATE("R8C",'Mapa final'!$O$55),"")</f>
        <v/>
      </c>
      <c r="Z33" s="82" t="str">
        <f>IF(AND('Mapa final'!$Y$56="Media",'Mapa final'!$AA$56="Moderado"),CONCATENATE("R8C",'Mapa final'!$O$56),"")</f>
        <v/>
      </c>
      <c r="AA33" s="83" t="str">
        <f>IF(AND('Mapa final'!$Y$57="Media",'Mapa final'!$AA$57="Moderado"),CONCATENATE("R8C",'Mapa final'!$O$57),"")</f>
        <v/>
      </c>
      <c r="AB33" s="66" t="str">
        <f>IF(AND('Mapa final'!$Y$52="Media",'Mapa final'!$AA$52="Mayor"),CONCATENATE("R8C",'Mapa final'!$O$52),"")</f>
        <v/>
      </c>
      <c r="AC33" s="67" t="str">
        <f>IF(AND('Mapa final'!$Y$53="Media",'Mapa final'!$AA$53="Mayor"),CONCATENATE("R8C",'Mapa final'!$O$53),"")</f>
        <v/>
      </c>
      <c r="AD33" s="67" t="str">
        <f>IF(AND('Mapa final'!$Y$54="Media",'Mapa final'!$AA$54="Mayor"),CONCATENATE("R8C",'Mapa final'!$O$54),"")</f>
        <v/>
      </c>
      <c r="AE33" s="67" t="str">
        <f>IF(AND('Mapa final'!$Y$55="Media",'Mapa final'!$AA$55="Mayor"),CONCATENATE("R8C",'Mapa final'!$O$55),"")</f>
        <v/>
      </c>
      <c r="AF33" s="67" t="str">
        <f>IF(AND('Mapa final'!$Y$56="Media",'Mapa final'!$AA$56="Mayor"),CONCATENATE("R8C",'Mapa final'!$O$56),"")</f>
        <v/>
      </c>
      <c r="AG33" s="68" t="str">
        <f>IF(AND('Mapa final'!$Y$57="Media",'Mapa final'!$AA$57="Mayor"),CONCATENATE("R8C",'Mapa final'!$O$57),"")</f>
        <v/>
      </c>
      <c r="AH33" s="69" t="str">
        <f>IF(AND('Mapa final'!$Y$52="Media",'Mapa final'!$AA$52="Catastrófico"),CONCATENATE("R8C",'Mapa final'!$O$52),"")</f>
        <v/>
      </c>
      <c r="AI33" s="70" t="str">
        <f>IF(AND('Mapa final'!$Y$53="Media",'Mapa final'!$AA$53="Catastrófico"),CONCATENATE("R8C",'Mapa final'!$O$53),"")</f>
        <v/>
      </c>
      <c r="AJ33" s="70" t="str">
        <f>IF(AND('Mapa final'!$Y$54="Media",'Mapa final'!$AA$54="Catastrófico"),CONCATENATE("R8C",'Mapa final'!$O$54),"")</f>
        <v/>
      </c>
      <c r="AK33" s="70" t="str">
        <f>IF(AND('Mapa final'!$Y$55="Media",'Mapa final'!$AA$55="Catastrófico"),CONCATENATE("R8C",'Mapa final'!$O$55),"")</f>
        <v/>
      </c>
      <c r="AL33" s="70" t="str">
        <f>IF(AND('Mapa final'!$Y$56="Media",'Mapa final'!$AA$56="Catastrófico"),CONCATENATE("R8C",'Mapa final'!$O$56),"")</f>
        <v/>
      </c>
      <c r="AM33" s="71" t="str">
        <f>IF(AND('Mapa final'!$Y$57="Media",'Mapa final'!$AA$57="Catastrófico"),CONCATENATE("R8C",'Mapa final'!$O$57),"")</f>
        <v/>
      </c>
      <c r="AN33" s="97"/>
      <c r="AO33" s="374"/>
      <c r="AP33" s="375"/>
      <c r="AQ33" s="375"/>
      <c r="AR33" s="375"/>
      <c r="AS33" s="375"/>
      <c r="AT33" s="376"/>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x14ac:dyDescent="0.25">
      <c r="A34" s="97"/>
      <c r="B34" s="246"/>
      <c r="C34" s="246"/>
      <c r="D34" s="247"/>
      <c r="E34" s="345"/>
      <c r="F34" s="344"/>
      <c r="G34" s="344"/>
      <c r="H34" s="344"/>
      <c r="I34" s="360"/>
      <c r="J34" s="81" t="str">
        <f>IF(AND('Mapa final'!$Y$58="Media",'Mapa final'!$AA$58="Leve"),CONCATENATE("R9C",'Mapa final'!$O$58),"")</f>
        <v/>
      </c>
      <c r="K34" s="82" t="str">
        <f>IF(AND('Mapa final'!$Y$59="Media",'Mapa final'!$AA$59="Leve"),CONCATENATE("R9C",'Mapa final'!$O$59),"")</f>
        <v/>
      </c>
      <c r="L34" s="82" t="str">
        <f>IF(AND('Mapa final'!$Y$60="Media",'Mapa final'!$AA$60="Leve"),CONCATENATE("R9C",'Mapa final'!$O$60),"")</f>
        <v/>
      </c>
      <c r="M34" s="82" t="str">
        <f>IF(AND('Mapa final'!$Y$61="Media",'Mapa final'!$AA$61="Leve"),CONCATENATE("R9C",'Mapa final'!$O$61),"")</f>
        <v/>
      </c>
      <c r="N34" s="82" t="str">
        <f>IF(AND('Mapa final'!$Y$62="Media",'Mapa final'!$AA$62="Leve"),CONCATENATE("R9C",'Mapa final'!$O$62),"")</f>
        <v/>
      </c>
      <c r="O34" s="83" t="str">
        <f>IF(AND('Mapa final'!$Y$63="Media",'Mapa final'!$AA$63="Leve"),CONCATENATE("R9C",'Mapa final'!$O$63),"")</f>
        <v/>
      </c>
      <c r="P34" s="81" t="str">
        <f>IF(AND('Mapa final'!$Y$58="Media",'Mapa final'!$AA$58="Menor"),CONCATENATE("R9C",'Mapa final'!$O$58),"")</f>
        <v/>
      </c>
      <c r="Q34" s="82" t="str">
        <f>IF(AND('Mapa final'!$Y$59="Media",'Mapa final'!$AA$59="Menor"),CONCATENATE("R9C",'Mapa final'!$O$59),"")</f>
        <v/>
      </c>
      <c r="R34" s="82" t="str">
        <f>IF(AND('Mapa final'!$Y$60="Media",'Mapa final'!$AA$60="Menor"),CONCATENATE("R9C",'Mapa final'!$O$60),"")</f>
        <v/>
      </c>
      <c r="S34" s="82" t="str">
        <f>IF(AND('Mapa final'!$Y$61="Media",'Mapa final'!$AA$61="Menor"),CONCATENATE("R9C",'Mapa final'!$O$61),"")</f>
        <v/>
      </c>
      <c r="T34" s="82" t="str">
        <f>IF(AND('Mapa final'!$Y$62="Media",'Mapa final'!$AA$62="Menor"),CONCATENATE("R9C",'Mapa final'!$O$62),"")</f>
        <v/>
      </c>
      <c r="U34" s="83" t="str">
        <f>IF(AND('Mapa final'!$Y$63="Media",'Mapa final'!$AA$63="Menor"),CONCATENATE("R9C",'Mapa final'!$O$63),"")</f>
        <v/>
      </c>
      <c r="V34" s="81" t="str">
        <f>IF(AND('Mapa final'!$Y$58="Media",'Mapa final'!$AA$58="Moderado"),CONCATENATE("R9C",'Mapa final'!$O$58),"")</f>
        <v/>
      </c>
      <c r="W34" s="82" t="str">
        <f>IF(AND('Mapa final'!$Y$59="Media",'Mapa final'!$AA$59="Moderado"),CONCATENATE("R9C",'Mapa final'!$O$59),"")</f>
        <v/>
      </c>
      <c r="X34" s="82" t="str">
        <f>IF(AND('Mapa final'!$Y$60="Media",'Mapa final'!$AA$60="Moderado"),CONCATENATE("R9C",'Mapa final'!$O$60),"")</f>
        <v/>
      </c>
      <c r="Y34" s="82" t="str">
        <f>IF(AND('Mapa final'!$Y$61="Media",'Mapa final'!$AA$61="Moderado"),CONCATENATE("R9C",'Mapa final'!$O$61),"")</f>
        <v/>
      </c>
      <c r="Z34" s="82" t="str">
        <f>IF(AND('Mapa final'!$Y$62="Media",'Mapa final'!$AA$62="Moderado"),CONCATENATE("R9C",'Mapa final'!$O$62),"")</f>
        <v/>
      </c>
      <c r="AA34" s="83" t="str">
        <f>IF(AND('Mapa final'!$Y$63="Media",'Mapa final'!$AA$63="Moderado"),CONCATENATE("R9C",'Mapa final'!$O$63),"")</f>
        <v/>
      </c>
      <c r="AB34" s="66" t="str">
        <f>IF(AND('Mapa final'!$Y$58="Media",'Mapa final'!$AA$58="Mayor"),CONCATENATE("R9C",'Mapa final'!$O$58),"")</f>
        <v/>
      </c>
      <c r="AC34" s="67" t="str">
        <f>IF(AND('Mapa final'!$Y$59="Media",'Mapa final'!$AA$59="Mayor"),CONCATENATE("R9C",'Mapa final'!$O$59),"")</f>
        <v/>
      </c>
      <c r="AD34" s="67" t="str">
        <f>IF(AND('Mapa final'!$Y$60="Media",'Mapa final'!$AA$60="Mayor"),CONCATENATE("R9C",'Mapa final'!$O$60),"")</f>
        <v/>
      </c>
      <c r="AE34" s="67" t="str">
        <f>IF(AND('Mapa final'!$Y$61="Media",'Mapa final'!$AA$61="Mayor"),CONCATENATE("R9C",'Mapa final'!$O$61),"")</f>
        <v/>
      </c>
      <c r="AF34" s="67" t="str">
        <f>IF(AND('Mapa final'!$Y$62="Media",'Mapa final'!$AA$62="Mayor"),CONCATENATE("R9C",'Mapa final'!$O$62),"")</f>
        <v/>
      </c>
      <c r="AG34" s="68" t="str">
        <f>IF(AND('Mapa final'!$Y$63="Media",'Mapa final'!$AA$63="Mayor"),CONCATENATE("R9C",'Mapa final'!$O$63),"")</f>
        <v/>
      </c>
      <c r="AH34" s="69" t="str">
        <f>IF(AND('Mapa final'!$Y$58="Media",'Mapa final'!$AA$58="Catastrófico"),CONCATENATE("R9C",'Mapa final'!$O$58),"")</f>
        <v/>
      </c>
      <c r="AI34" s="70" t="str">
        <f>IF(AND('Mapa final'!$Y$59="Media",'Mapa final'!$AA$59="Catastrófico"),CONCATENATE("R9C",'Mapa final'!$O$59),"")</f>
        <v/>
      </c>
      <c r="AJ34" s="70" t="str">
        <f>IF(AND('Mapa final'!$Y$60="Media",'Mapa final'!$AA$60="Catastrófico"),CONCATENATE("R9C",'Mapa final'!$O$60),"")</f>
        <v/>
      </c>
      <c r="AK34" s="70" t="str">
        <f>IF(AND('Mapa final'!$Y$61="Media",'Mapa final'!$AA$61="Catastrófico"),CONCATENATE("R9C",'Mapa final'!$O$61),"")</f>
        <v/>
      </c>
      <c r="AL34" s="70" t="str">
        <f>IF(AND('Mapa final'!$Y$62="Media",'Mapa final'!$AA$62="Catastrófico"),CONCATENATE("R9C",'Mapa final'!$O$62),"")</f>
        <v/>
      </c>
      <c r="AM34" s="71" t="str">
        <f>IF(AND('Mapa final'!$Y$63="Media",'Mapa final'!$AA$63="Catastrófico"),CONCATENATE("R9C",'Mapa final'!$O$63),"")</f>
        <v/>
      </c>
      <c r="AN34" s="97"/>
      <c r="AO34" s="374"/>
      <c r="AP34" s="375"/>
      <c r="AQ34" s="375"/>
      <c r="AR34" s="375"/>
      <c r="AS34" s="375"/>
      <c r="AT34" s="376"/>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x14ac:dyDescent="0.3">
      <c r="A35" s="97"/>
      <c r="B35" s="246"/>
      <c r="C35" s="246"/>
      <c r="D35" s="247"/>
      <c r="E35" s="346"/>
      <c r="F35" s="347"/>
      <c r="G35" s="347"/>
      <c r="H35" s="347"/>
      <c r="I35" s="361"/>
      <c r="J35" s="81" t="str">
        <f>IF(AND('Mapa final'!$Y$64="Media",'Mapa final'!$AA$64="Leve"),CONCATENATE("R10C",'Mapa final'!$O$64),"")</f>
        <v/>
      </c>
      <c r="K35" s="82" t="str">
        <f>IF(AND('Mapa final'!$Y$65="Media",'Mapa final'!$AA$65="Leve"),CONCATENATE("R10C",'Mapa final'!$O$65),"")</f>
        <v/>
      </c>
      <c r="L35" s="82" t="str">
        <f>IF(AND('Mapa final'!$Y$66="Media",'Mapa final'!$AA$66="Leve"),CONCATENATE("R10C",'Mapa final'!$O$66),"")</f>
        <v/>
      </c>
      <c r="M35" s="82" t="str">
        <f>IF(AND('Mapa final'!$Y$67="Media",'Mapa final'!$AA$67="Leve"),CONCATENATE("R10C",'Mapa final'!$O$67),"")</f>
        <v/>
      </c>
      <c r="N35" s="82" t="str">
        <f>IF(AND('Mapa final'!$Y$68="Media",'Mapa final'!$AA$68="Leve"),CONCATENATE("R10C",'Mapa final'!$O$68),"")</f>
        <v/>
      </c>
      <c r="O35" s="83" t="str">
        <f>IF(AND('Mapa final'!$Y$69="Media",'Mapa final'!$AA$69="Leve"),CONCATENATE("R10C",'Mapa final'!$O$69),"")</f>
        <v/>
      </c>
      <c r="P35" s="81" t="str">
        <f>IF(AND('Mapa final'!$Y$64="Media",'Mapa final'!$AA$64="Menor"),CONCATENATE("R10C",'Mapa final'!$O$64),"")</f>
        <v/>
      </c>
      <c r="Q35" s="82" t="str">
        <f>IF(AND('Mapa final'!$Y$65="Media",'Mapa final'!$AA$65="Menor"),CONCATENATE("R10C",'Mapa final'!$O$65),"")</f>
        <v/>
      </c>
      <c r="R35" s="82" t="str">
        <f>IF(AND('Mapa final'!$Y$66="Media",'Mapa final'!$AA$66="Menor"),CONCATENATE("R10C",'Mapa final'!$O$66),"")</f>
        <v/>
      </c>
      <c r="S35" s="82" t="str">
        <f>IF(AND('Mapa final'!$Y$67="Media",'Mapa final'!$AA$67="Menor"),CONCATENATE("R10C",'Mapa final'!$O$67),"")</f>
        <v/>
      </c>
      <c r="T35" s="82" t="str">
        <f>IF(AND('Mapa final'!$Y$68="Media",'Mapa final'!$AA$68="Menor"),CONCATENATE("R10C",'Mapa final'!$O$68),"")</f>
        <v/>
      </c>
      <c r="U35" s="83" t="str">
        <f>IF(AND('Mapa final'!$Y$69="Media",'Mapa final'!$AA$69="Menor"),CONCATENATE("R10C",'Mapa final'!$O$69),"")</f>
        <v/>
      </c>
      <c r="V35" s="81" t="str">
        <f>IF(AND('Mapa final'!$Y$64="Media",'Mapa final'!$AA$64="Moderado"),CONCATENATE("R10C",'Mapa final'!$O$64),"")</f>
        <v/>
      </c>
      <c r="W35" s="82" t="str">
        <f>IF(AND('Mapa final'!$Y$65="Media",'Mapa final'!$AA$65="Moderado"),CONCATENATE("R10C",'Mapa final'!$O$65),"")</f>
        <v/>
      </c>
      <c r="X35" s="82" t="str">
        <f>IF(AND('Mapa final'!$Y$66="Media",'Mapa final'!$AA$66="Moderado"),CONCATENATE("R10C",'Mapa final'!$O$66),"")</f>
        <v/>
      </c>
      <c r="Y35" s="82" t="str">
        <f>IF(AND('Mapa final'!$Y$67="Media",'Mapa final'!$AA$67="Moderado"),CONCATENATE("R10C",'Mapa final'!$O$67),"")</f>
        <v/>
      </c>
      <c r="Z35" s="82" t="str">
        <f>IF(AND('Mapa final'!$Y$68="Media",'Mapa final'!$AA$68="Moderado"),CONCATENATE("R10C",'Mapa final'!$O$68),"")</f>
        <v/>
      </c>
      <c r="AA35" s="83" t="str">
        <f>IF(AND('Mapa final'!$Y$69="Media",'Mapa final'!$AA$69="Moderado"),CONCATENATE("R10C",'Mapa final'!$O$69),"")</f>
        <v/>
      </c>
      <c r="AB35" s="72" t="str">
        <f>IF(AND('Mapa final'!$Y$64="Media",'Mapa final'!$AA$64="Mayor"),CONCATENATE("R10C",'Mapa final'!$O$64),"")</f>
        <v/>
      </c>
      <c r="AC35" s="73" t="str">
        <f>IF(AND('Mapa final'!$Y$65="Media",'Mapa final'!$AA$65="Mayor"),CONCATENATE("R10C",'Mapa final'!$O$65),"")</f>
        <v/>
      </c>
      <c r="AD35" s="73" t="str">
        <f>IF(AND('Mapa final'!$Y$66="Media",'Mapa final'!$AA$66="Mayor"),CONCATENATE("R10C",'Mapa final'!$O$66),"")</f>
        <v/>
      </c>
      <c r="AE35" s="73" t="str">
        <f>IF(AND('Mapa final'!$Y$67="Media",'Mapa final'!$AA$67="Mayor"),CONCATENATE("R10C",'Mapa final'!$O$67),"")</f>
        <v/>
      </c>
      <c r="AF35" s="73" t="str">
        <f>IF(AND('Mapa final'!$Y$68="Media",'Mapa final'!$AA$68="Mayor"),CONCATENATE("R10C",'Mapa final'!$O$68),"")</f>
        <v/>
      </c>
      <c r="AG35" s="74" t="str">
        <f>IF(AND('Mapa final'!$Y$69="Media",'Mapa final'!$AA$69="Mayor"),CONCATENATE("R10C",'Mapa final'!$O$69),"")</f>
        <v/>
      </c>
      <c r="AH35" s="75" t="str">
        <f>IF(AND('Mapa final'!$Y$64="Media",'Mapa final'!$AA$64="Catastrófico"),CONCATENATE("R10C",'Mapa final'!$O$64),"")</f>
        <v/>
      </c>
      <c r="AI35" s="76" t="str">
        <f>IF(AND('Mapa final'!$Y$65="Media",'Mapa final'!$AA$65="Catastrófico"),CONCATENATE("R10C",'Mapa final'!$O$65),"")</f>
        <v/>
      </c>
      <c r="AJ35" s="76" t="str">
        <f>IF(AND('Mapa final'!$Y$66="Media",'Mapa final'!$AA$66="Catastrófico"),CONCATENATE("R10C",'Mapa final'!$O$66),"")</f>
        <v/>
      </c>
      <c r="AK35" s="76" t="str">
        <f>IF(AND('Mapa final'!$Y$67="Media",'Mapa final'!$AA$67="Catastrófico"),CONCATENATE("R10C",'Mapa final'!$O$67),"")</f>
        <v/>
      </c>
      <c r="AL35" s="76" t="str">
        <f>IF(AND('Mapa final'!$Y$68="Media",'Mapa final'!$AA$68="Catastrófico"),CONCATENATE("R10C",'Mapa final'!$O$68),"")</f>
        <v/>
      </c>
      <c r="AM35" s="77" t="str">
        <f>IF(AND('Mapa final'!$Y$69="Media",'Mapa final'!$AA$69="Catastrófico"),CONCATENATE("R10C",'Mapa final'!$O$69),"")</f>
        <v/>
      </c>
      <c r="AN35" s="97"/>
      <c r="AO35" s="377"/>
      <c r="AP35" s="378"/>
      <c r="AQ35" s="378"/>
      <c r="AR35" s="378"/>
      <c r="AS35" s="378"/>
      <c r="AT35" s="379"/>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x14ac:dyDescent="0.25">
      <c r="A36" s="97"/>
      <c r="B36" s="246"/>
      <c r="C36" s="246"/>
      <c r="D36" s="247"/>
      <c r="E36" s="341" t="s">
        <v>114</v>
      </c>
      <c r="F36" s="342"/>
      <c r="G36" s="342"/>
      <c r="H36" s="342"/>
      <c r="I36" s="342"/>
      <c r="J36" s="87" t="str">
        <f>IF(AND('Mapa final'!$Y$10="Baja",'Mapa final'!$AA$10="Leve"),CONCATENATE("R1C",'Mapa final'!$O$10),"")</f>
        <v/>
      </c>
      <c r="K36" s="88" t="str">
        <f>IF(AND('Mapa final'!$Y$11="Baja",'Mapa final'!$AA$11="Leve"),CONCATENATE("R1C",'Mapa final'!$O$11),"")</f>
        <v/>
      </c>
      <c r="L36" s="88" t="str">
        <f>IF(AND('Mapa final'!$Y$12="Baja",'Mapa final'!$AA$12="Leve"),CONCATENATE("R1C",'Mapa final'!$O$12),"")</f>
        <v/>
      </c>
      <c r="M36" s="88" t="str">
        <f>IF(AND('Mapa final'!$Y$13="Baja",'Mapa final'!$AA$13="Leve"),CONCATENATE("R1C",'Mapa final'!$O$13),"")</f>
        <v/>
      </c>
      <c r="N36" s="88" t="str">
        <f>IF(AND('Mapa final'!$Y$14="Baja",'Mapa final'!$AA$14="Leve"),CONCATENATE("R1C",'Mapa final'!$O$14),"")</f>
        <v/>
      </c>
      <c r="O36" s="89" t="str">
        <f>IF(AND('Mapa final'!$Y$15="Baja",'Mapa final'!$AA$15="Leve"),CONCATENATE("R1C",'Mapa final'!$O$15),"")</f>
        <v/>
      </c>
      <c r="P36" s="78" t="str">
        <f>IF(AND('Mapa final'!$Y$10="Baja",'Mapa final'!$AA$10="Menor"),CONCATENATE("R1C",'Mapa final'!$O$10),"")</f>
        <v>R1C1</v>
      </c>
      <c r="Q36" s="79" t="str">
        <f>IF(AND('Mapa final'!$Y$11="Baja",'Mapa final'!$AA$11="Menor"),CONCATENATE("R1C",'Mapa final'!$O$11),"")</f>
        <v/>
      </c>
      <c r="R36" s="79" t="str">
        <f>IF(AND('Mapa final'!$Y$12="Baja",'Mapa final'!$AA$12="Menor"),CONCATENATE("R1C",'Mapa final'!$O$12),"")</f>
        <v/>
      </c>
      <c r="S36" s="79" t="str">
        <f>IF(AND('Mapa final'!$Y$13="Baja",'Mapa final'!$AA$13="Menor"),CONCATENATE("R1C",'Mapa final'!$O$13),"")</f>
        <v/>
      </c>
      <c r="T36" s="79" t="str">
        <f>IF(AND('Mapa final'!$Y$14="Baja",'Mapa final'!$AA$14="Menor"),CONCATENATE("R1C",'Mapa final'!$O$14),"")</f>
        <v/>
      </c>
      <c r="U36" s="80" t="str">
        <f>IF(AND('Mapa final'!$Y$15="Baja",'Mapa final'!$AA$15="Menor"),CONCATENATE("R1C",'Mapa final'!$O$15),"")</f>
        <v/>
      </c>
      <c r="V36" s="78" t="str">
        <f>IF(AND('Mapa final'!$Y$10="Baja",'Mapa final'!$AA$10="Moderado"),CONCATENATE("R1C",'Mapa final'!$O$10),"")</f>
        <v/>
      </c>
      <c r="W36" s="79" t="str">
        <f>IF(AND('Mapa final'!$Y$11="Baja",'Mapa final'!$AA$11="Moderado"),CONCATENATE("R1C",'Mapa final'!$O$11),"")</f>
        <v/>
      </c>
      <c r="X36" s="79" t="str">
        <f>IF(AND('Mapa final'!$Y$12="Baja",'Mapa final'!$AA$12="Moderado"),CONCATENATE("R1C",'Mapa final'!$O$12),"")</f>
        <v/>
      </c>
      <c r="Y36" s="79" t="str">
        <f>IF(AND('Mapa final'!$Y$13="Baja",'Mapa final'!$AA$13="Moderado"),CONCATENATE("R1C",'Mapa final'!$O$13),"")</f>
        <v/>
      </c>
      <c r="Z36" s="79" t="str">
        <f>IF(AND('Mapa final'!$Y$14="Baja",'Mapa final'!$AA$14="Moderado"),CONCATENATE("R1C",'Mapa final'!$O$14),"")</f>
        <v/>
      </c>
      <c r="AA36" s="80" t="str">
        <f>IF(AND('Mapa final'!$Y$15="Baja",'Mapa final'!$AA$15="Moderado"),CONCATENATE("R1C",'Mapa final'!$O$15),"")</f>
        <v/>
      </c>
      <c r="AB36" s="60" t="str">
        <f>IF(AND('Mapa final'!$Y$10="Baja",'Mapa final'!$AA$10="Mayor"),CONCATENATE("R1C",'Mapa final'!$O$10),"")</f>
        <v/>
      </c>
      <c r="AC36" s="61" t="str">
        <f>IF(AND('Mapa final'!$Y$11="Baja",'Mapa final'!$AA$11="Mayor"),CONCATENATE("R1C",'Mapa final'!$O$11),"")</f>
        <v/>
      </c>
      <c r="AD36" s="61" t="str">
        <f>IF(AND('Mapa final'!$Y$12="Baja",'Mapa final'!$AA$12="Mayor"),CONCATENATE("R1C",'Mapa final'!$O$12),"")</f>
        <v/>
      </c>
      <c r="AE36" s="61" t="str">
        <f>IF(AND('Mapa final'!$Y$13="Baja",'Mapa final'!$AA$13="Mayor"),CONCATENATE("R1C",'Mapa final'!$O$13),"")</f>
        <v/>
      </c>
      <c r="AF36" s="61" t="str">
        <f>IF(AND('Mapa final'!$Y$14="Baja",'Mapa final'!$AA$14="Mayor"),CONCATENATE("R1C",'Mapa final'!$O$14),"")</f>
        <v/>
      </c>
      <c r="AG36" s="62" t="str">
        <f>IF(AND('Mapa final'!$Y$15="Baja",'Mapa final'!$AA$15="Mayor"),CONCATENATE("R1C",'Mapa final'!$O$15),"")</f>
        <v/>
      </c>
      <c r="AH36" s="63" t="str">
        <f>IF(AND('Mapa final'!$Y$10="Baja",'Mapa final'!$AA$10="Catastrófico"),CONCATENATE("R1C",'Mapa final'!$O$10),"")</f>
        <v/>
      </c>
      <c r="AI36" s="64" t="str">
        <f>IF(AND('Mapa final'!$Y$11="Baja",'Mapa final'!$AA$11="Catastrófico"),CONCATENATE("R1C",'Mapa final'!$O$11),"")</f>
        <v/>
      </c>
      <c r="AJ36" s="64" t="str">
        <f>IF(AND('Mapa final'!$Y$12="Baja",'Mapa final'!$AA$12="Catastrófico"),CONCATENATE("R1C",'Mapa final'!$O$12),"")</f>
        <v/>
      </c>
      <c r="AK36" s="64" t="str">
        <f>IF(AND('Mapa final'!$Y$13="Baja",'Mapa final'!$AA$13="Catastrófico"),CONCATENATE("R1C",'Mapa final'!$O$13),"")</f>
        <v/>
      </c>
      <c r="AL36" s="64" t="str">
        <f>IF(AND('Mapa final'!$Y$14="Baja",'Mapa final'!$AA$14="Catastrófico"),CONCATENATE("R1C",'Mapa final'!$O$14),"")</f>
        <v/>
      </c>
      <c r="AM36" s="65" t="str">
        <f>IF(AND('Mapa final'!$Y$15="Baja",'Mapa final'!$AA$15="Catastrófico"),CONCATENATE("R1C",'Mapa final'!$O$15),"")</f>
        <v/>
      </c>
      <c r="AN36" s="97"/>
      <c r="AO36" s="362" t="s">
        <v>82</v>
      </c>
      <c r="AP36" s="363"/>
      <c r="AQ36" s="363"/>
      <c r="AR36" s="363"/>
      <c r="AS36" s="363"/>
      <c r="AT36" s="364"/>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x14ac:dyDescent="0.25">
      <c r="A37" s="97"/>
      <c r="B37" s="246"/>
      <c r="C37" s="246"/>
      <c r="D37" s="247"/>
      <c r="E37" s="343"/>
      <c r="F37" s="344"/>
      <c r="G37" s="344"/>
      <c r="H37" s="344"/>
      <c r="I37" s="344"/>
      <c r="J37" s="90" t="str">
        <f>IF(AND('Mapa final'!$Y$16="Baja",'Mapa final'!$AA$16="Leve"),CONCATENATE("R2C",'Mapa final'!$O$16),"")</f>
        <v/>
      </c>
      <c r="K37" s="91" t="str">
        <f>IF(AND('Mapa final'!$Y$17="Baja",'Mapa final'!$AA$17="Leve"),CONCATENATE("R2C",'Mapa final'!$O$17),"")</f>
        <v/>
      </c>
      <c r="L37" s="91" t="str">
        <f>IF(AND('Mapa final'!$Y$18="Baja",'Mapa final'!$AA$18="Leve"),CONCATENATE("R2C",'Mapa final'!$O$18),"")</f>
        <v/>
      </c>
      <c r="M37" s="91" t="str">
        <f>IF(AND('Mapa final'!$Y$19="Baja",'Mapa final'!$AA$19="Leve"),CONCATENATE("R2C",'Mapa final'!$O$19),"")</f>
        <v/>
      </c>
      <c r="N37" s="91" t="str">
        <f>IF(AND('Mapa final'!$Y$20="Baja",'Mapa final'!$AA$20="Leve"),CONCATENATE("R2C",'Mapa final'!$O$20),"")</f>
        <v/>
      </c>
      <c r="O37" s="92" t="str">
        <f>IF(AND('Mapa final'!$Y$21="Baja",'Mapa final'!$AA$21="Leve"),CONCATENATE("R2C",'Mapa final'!$O$21),"")</f>
        <v/>
      </c>
      <c r="P37" s="81" t="str">
        <f>IF(AND('Mapa final'!$Y$16="Baja",'Mapa final'!$AA$16="Menor"),CONCATENATE("R2C",'Mapa final'!$O$16),"")</f>
        <v/>
      </c>
      <c r="Q37" s="82" t="str">
        <f>IF(AND('Mapa final'!$Y$17="Baja",'Mapa final'!$AA$17="Menor"),CONCATENATE("R2C",'Mapa final'!$O$17),"")</f>
        <v/>
      </c>
      <c r="R37" s="82" t="str">
        <f>IF(AND('Mapa final'!$Y$18="Baja",'Mapa final'!$AA$18="Menor"),CONCATENATE("R2C",'Mapa final'!$O$18),"")</f>
        <v/>
      </c>
      <c r="S37" s="82" t="str">
        <f>IF(AND('Mapa final'!$Y$19="Baja",'Mapa final'!$AA$19="Menor"),CONCATENATE("R2C",'Mapa final'!$O$19),"")</f>
        <v/>
      </c>
      <c r="T37" s="82" t="str">
        <f>IF(AND('Mapa final'!$Y$20="Baja",'Mapa final'!$AA$20="Menor"),CONCATENATE("R2C",'Mapa final'!$O$20),"")</f>
        <v/>
      </c>
      <c r="U37" s="83" t="str">
        <f>IF(AND('Mapa final'!$Y$21="Baja",'Mapa final'!$AA$21="Menor"),CONCATENATE("R2C",'Mapa final'!$O$21),"")</f>
        <v/>
      </c>
      <c r="V37" s="81" t="str">
        <f>IF(AND('Mapa final'!$Y$16="Baja",'Mapa final'!$AA$16="Moderado"),CONCATENATE("R2C",'Mapa final'!$O$16),"")</f>
        <v>R2C1</v>
      </c>
      <c r="W37" s="82" t="str">
        <f>IF(AND('Mapa final'!$Y$17="Baja",'Mapa final'!$AA$17="Moderado"),CONCATENATE("R2C",'Mapa final'!$O$17),"")</f>
        <v/>
      </c>
      <c r="X37" s="82" t="str">
        <f>IF(AND('Mapa final'!$Y$18="Baja",'Mapa final'!$AA$18="Moderado"),CONCATENATE("R2C",'Mapa final'!$O$18),"")</f>
        <v/>
      </c>
      <c r="Y37" s="82" t="str">
        <f>IF(AND('Mapa final'!$Y$19="Baja",'Mapa final'!$AA$19="Moderado"),CONCATENATE("R2C",'Mapa final'!$O$19),"")</f>
        <v/>
      </c>
      <c r="Z37" s="82" t="str">
        <f>IF(AND('Mapa final'!$Y$20="Baja",'Mapa final'!$AA$20="Moderado"),CONCATENATE("R2C",'Mapa final'!$O$20),"")</f>
        <v/>
      </c>
      <c r="AA37" s="83" t="str">
        <f>IF(AND('Mapa final'!$Y$21="Baja",'Mapa final'!$AA$21="Moderado"),CONCATENATE("R2C",'Mapa final'!$O$21),"")</f>
        <v/>
      </c>
      <c r="AB37" s="66" t="str">
        <f>IF(AND('Mapa final'!$Y$16="Baja",'Mapa final'!$AA$16="Mayor"),CONCATENATE("R2C",'Mapa final'!$O$16),"")</f>
        <v/>
      </c>
      <c r="AC37" s="67" t="str">
        <f>IF(AND('Mapa final'!$Y$17="Baja",'Mapa final'!$AA$17="Mayor"),CONCATENATE("R2C",'Mapa final'!$O$17),"")</f>
        <v/>
      </c>
      <c r="AD37" s="67" t="str">
        <f>IF(AND('Mapa final'!$Y$18="Baja",'Mapa final'!$AA$18="Mayor"),CONCATENATE("R2C",'Mapa final'!$O$18),"")</f>
        <v/>
      </c>
      <c r="AE37" s="67" t="str">
        <f>IF(AND('Mapa final'!$Y$19="Baja",'Mapa final'!$AA$19="Mayor"),CONCATENATE("R2C",'Mapa final'!$O$19),"")</f>
        <v/>
      </c>
      <c r="AF37" s="67" t="str">
        <f>IF(AND('Mapa final'!$Y$20="Baja",'Mapa final'!$AA$20="Mayor"),CONCATENATE("R2C",'Mapa final'!$O$20),"")</f>
        <v/>
      </c>
      <c r="AG37" s="68" t="str">
        <f>IF(AND('Mapa final'!$Y$21="Baja",'Mapa final'!$AA$21="Mayor"),CONCATENATE("R2C",'Mapa final'!$O$21),"")</f>
        <v/>
      </c>
      <c r="AH37" s="69" t="str">
        <f>IF(AND('Mapa final'!$Y$16="Baja",'Mapa final'!$AA$16="Catastrófico"),CONCATENATE("R2C",'Mapa final'!$O$16),"")</f>
        <v/>
      </c>
      <c r="AI37" s="70" t="str">
        <f>IF(AND('Mapa final'!$Y$17="Baja",'Mapa final'!$AA$17="Catastrófico"),CONCATENATE("R2C",'Mapa final'!$O$17),"")</f>
        <v/>
      </c>
      <c r="AJ37" s="70" t="str">
        <f>IF(AND('Mapa final'!$Y$18="Baja",'Mapa final'!$AA$18="Catastrófico"),CONCATENATE("R2C",'Mapa final'!$O$18),"")</f>
        <v/>
      </c>
      <c r="AK37" s="70" t="str">
        <f>IF(AND('Mapa final'!$Y$19="Baja",'Mapa final'!$AA$19="Catastrófico"),CONCATENATE("R2C",'Mapa final'!$O$19),"")</f>
        <v/>
      </c>
      <c r="AL37" s="70" t="str">
        <f>IF(AND('Mapa final'!$Y$20="Baja",'Mapa final'!$AA$20="Catastrófico"),CONCATENATE("R2C",'Mapa final'!$O$20),"")</f>
        <v/>
      </c>
      <c r="AM37" s="71" t="str">
        <f>IF(AND('Mapa final'!$Y$21="Baja",'Mapa final'!$AA$21="Catastrófico"),CONCATENATE("R2C",'Mapa final'!$O$21),"")</f>
        <v/>
      </c>
      <c r="AN37" s="97"/>
      <c r="AO37" s="365"/>
      <c r="AP37" s="366"/>
      <c r="AQ37" s="366"/>
      <c r="AR37" s="366"/>
      <c r="AS37" s="366"/>
      <c r="AT37" s="36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x14ac:dyDescent="0.25">
      <c r="A38" s="97"/>
      <c r="B38" s="246"/>
      <c r="C38" s="246"/>
      <c r="D38" s="247"/>
      <c r="E38" s="345"/>
      <c r="F38" s="344"/>
      <c r="G38" s="344"/>
      <c r="H38" s="344"/>
      <c r="I38" s="344"/>
      <c r="J38" s="90" t="str">
        <f>IF(AND('Mapa final'!$Y$22="Baja",'Mapa final'!$AA$22="Leve"),CONCATENATE("R3C",'Mapa final'!$O$22),"")</f>
        <v>R3C1</v>
      </c>
      <c r="K38" s="91" t="str">
        <f>IF(AND('Mapa final'!$Y$23="Baja",'Mapa final'!$AA$23="Leve"),CONCATENATE("R3C",'Mapa final'!$O$23),"")</f>
        <v/>
      </c>
      <c r="L38" s="91" t="str">
        <f>IF(AND('Mapa final'!$Y$24="Baja",'Mapa final'!$AA$24="Leve"),CONCATENATE("R3C",'Mapa final'!$O$24),"")</f>
        <v/>
      </c>
      <c r="M38" s="91" t="str">
        <f>IF(AND('Mapa final'!$Y$25="Baja",'Mapa final'!$AA$25="Leve"),CONCATENATE("R3C",'Mapa final'!$O$25),"")</f>
        <v/>
      </c>
      <c r="N38" s="91" t="str">
        <f>IF(AND('Mapa final'!$Y$26="Baja",'Mapa final'!$AA$26="Leve"),CONCATENATE("R3C",'Mapa final'!$O$26),"")</f>
        <v/>
      </c>
      <c r="O38" s="92" t="str">
        <f>IF(AND('Mapa final'!$Y$27="Baja",'Mapa final'!$AA$27="Leve"),CONCATENATE("R3C",'Mapa final'!$O$27),"")</f>
        <v/>
      </c>
      <c r="P38" s="81" t="str">
        <f>IF(AND('Mapa final'!$Y$22="Baja",'Mapa final'!$AA$22="Menor"),CONCATENATE("R3C",'Mapa final'!$O$22),"")</f>
        <v/>
      </c>
      <c r="Q38" s="82" t="str">
        <f>IF(AND('Mapa final'!$Y$23="Baja",'Mapa final'!$AA$23="Menor"),CONCATENATE("R3C",'Mapa final'!$O$23),"")</f>
        <v/>
      </c>
      <c r="R38" s="82" t="str">
        <f>IF(AND('Mapa final'!$Y$24="Baja",'Mapa final'!$AA$24="Menor"),CONCATENATE("R3C",'Mapa final'!$O$24),"")</f>
        <v/>
      </c>
      <c r="S38" s="82" t="str">
        <f>IF(AND('Mapa final'!$Y$25="Baja",'Mapa final'!$AA$25="Menor"),CONCATENATE("R3C",'Mapa final'!$O$25),"")</f>
        <v/>
      </c>
      <c r="T38" s="82" t="str">
        <f>IF(AND('Mapa final'!$Y$26="Baja",'Mapa final'!$AA$26="Menor"),CONCATENATE("R3C",'Mapa final'!$O$26),"")</f>
        <v/>
      </c>
      <c r="U38" s="83" t="str">
        <f>IF(AND('Mapa final'!$Y$27="Baja",'Mapa final'!$AA$27="Menor"),CONCATENATE("R3C",'Mapa final'!$O$27),"")</f>
        <v/>
      </c>
      <c r="V38" s="81" t="str">
        <f>IF(AND('Mapa final'!$Y$22="Baja",'Mapa final'!$AA$22="Moderado"),CONCATENATE("R3C",'Mapa final'!$O$22),"")</f>
        <v/>
      </c>
      <c r="W38" s="82" t="str">
        <f>IF(AND('Mapa final'!$Y$23="Baja",'Mapa final'!$AA$23="Moderado"),CONCATENATE("R3C",'Mapa final'!$O$23),"")</f>
        <v/>
      </c>
      <c r="X38" s="82" t="str">
        <f>IF(AND('Mapa final'!$Y$24="Baja",'Mapa final'!$AA$24="Moderado"),CONCATENATE("R3C",'Mapa final'!$O$24),"")</f>
        <v/>
      </c>
      <c r="Y38" s="82" t="str">
        <f>IF(AND('Mapa final'!$Y$25="Baja",'Mapa final'!$AA$25="Moderado"),CONCATENATE("R3C",'Mapa final'!$O$25),"")</f>
        <v/>
      </c>
      <c r="Z38" s="82" t="str">
        <f>IF(AND('Mapa final'!$Y$26="Baja",'Mapa final'!$AA$26="Moderado"),CONCATENATE("R3C",'Mapa final'!$O$26),"")</f>
        <v/>
      </c>
      <c r="AA38" s="83" t="str">
        <f>IF(AND('Mapa final'!$Y$27="Baja",'Mapa final'!$AA$27="Moderado"),CONCATENATE("R3C",'Mapa final'!$O$27),"")</f>
        <v/>
      </c>
      <c r="AB38" s="66" t="str">
        <f>IF(AND('Mapa final'!$Y$22="Baja",'Mapa final'!$AA$22="Mayor"),CONCATENATE("R3C",'Mapa final'!$O$22),"")</f>
        <v/>
      </c>
      <c r="AC38" s="67" t="str">
        <f>IF(AND('Mapa final'!$Y$23="Baja",'Mapa final'!$AA$23="Mayor"),CONCATENATE("R3C",'Mapa final'!$O$23),"")</f>
        <v/>
      </c>
      <c r="AD38" s="67" t="str">
        <f>IF(AND('Mapa final'!$Y$24="Baja",'Mapa final'!$AA$24="Mayor"),CONCATENATE("R3C",'Mapa final'!$O$24),"")</f>
        <v/>
      </c>
      <c r="AE38" s="67" t="str">
        <f>IF(AND('Mapa final'!$Y$25="Baja",'Mapa final'!$AA$25="Mayor"),CONCATENATE("R3C",'Mapa final'!$O$25),"")</f>
        <v/>
      </c>
      <c r="AF38" s="67" t="str">
        <f>IF(AND('Mapa final'!$Y$26="Baja",'Mapa final'!$AA$26="Mayor"),CONCATENATE("R3C",'Mapa final'!$O$26),"")</f>
        <v/>
      </c>
      <c r="AG38" s="68" t="str">
        <f>IF(AND('Mapa final'!$Y$27="Baja",'Mapa final'!$AA$27="Mayor"),CONCATENATE("R3C",'Mapa final'!$O$27),"")</f>
        <v/>
      </c>
      <c r="AH38" s="69" t="str">
        <f>IF(AND('Mapa final'!$Y$22="Baja",'Mapa final'!$AA$22="Catastrófico"),CONCATENATE("R3C",'Mapa final'!$O$22),"")</f>
        <v/>
      </c>
      <c r="AI38" s="70" t="str">
        <f>IF(AND('Mapa final'!$Y$23="Baja",'Mapa final'!$AA$23="Catastrófico"),CONCATENATE("R3C",'Mapa final'!$O$23),"")</f>
        <v/>
      </c>
      <c r="AJ38" s="70" t="str">
        <f>IF(AND('Mapa final'!$Y$24="Baja",'Mapa final'!$AA$24="Catastrófico"),CONCATENATE("R3C",'Mapa final'!$O$24),"")</f>
        <v/>
      </c>
      <c r="AK38" s="70" t="str">
        <f>IF(AND('Mapa final'!$Y$25="Baja",'Mapa final'!$AA$25="Catastrófico"),CONCATENATE("R3C",'Mapa final'!$O$25),"")</f>
        <v/>
      </c>
      <c r="AL38" s="70" t="str">
        <f>IF(AND('Mapa final'!$Y$26="Baja",'Mapa final'!$AA$26="Catastrófico"),CONCATENATE("R3C",'Mapa final'!$O$26),"")</f>
        <v/>
      </c>
      <c r="AM38" s="71" t="str">
        <f>IF(AND('Mapa final'!$Y$27="Baja",'Mapa final'!$AA$27="Catastrófico"),CONCATENATE("R3C",'Mapa final'!$O$27),"")</f>
        <v/>
      </c>
      <c r="AN38" s="97"/>
      <c r="AO38" s="365"/>
      <c r="AP38" s="366"/>
      <c r="AQ38" s="366"/>
      <c r="AR38" s="366"/>
      <c r="AS38" s="366"/>
      <c r="AT38" s="36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x14ac:dyDescent="0.25">
      <c r="A39" s="97"/>
      <c r="B39" s="246"/>
      <c r="C39" s="246"/>
      <c r="D39" s="247"/>
      <c r="E39" s="345"/>
      <c r="F39" s="344"/>
      <c r="G39" s="344"/>
      <c r="H39" s="344"/>
      <c r="I39" s="344"/>
      <c r="J39" s="90" t="str">
        <f>IF(AND('Mapa final'!$Y$28="Baja",'Mapa final'!$AA$28="Leve"),CONCATENATE("R4C",'Mapa final'!$O$28),"")</f>
        <v/>
      </c>
      <c r="K39" s="91" t="str">
        <f>IF(AND('Mapa final'!$Y$29="Baja",'Mapa final'!$AA$29="Leve"),CONCATENATE("R4C",'Mapa final'!$O$29),"")</f>
        <v/>
      </c>
      <c r="L39" s="91" t="str">
        <f>IF(AND('Mapa final'!$Y$30="Baja",'Mapa final'!$AA$30="Leve"),CONCATENATE("R4C",'Mapa final'!$O$30),"")</f>
        <v/>
      </c>
      <c r="M39" s="91" t="str">
        <f>IF(AND('Mapa final'!$Y$31="Baja",'Mapa final'!$AA$31="Leve"),CONCATENATE("R4C",'Mapa final'!$O$31),"")</f>
        <v/>
      </c>
      <c r="N39" s="91" t="str">
        <f>IF(AND('Mapa final'!$Y$32="Baja",'Mapa final'!$AA$32="Leve"),CONCATENATE("R4C",'Mapa final'!$O$32),"")</f>
        <v/>
      </c>
      <c r="O39" s="92" t="str">
        <f>IF(AND('Mapa final'!$Y$33="Baja",'Mapa final'!$AA$33="Leve"),CONCATENATE("R4C",'Mapa final'!$O$33),"")</f>
        <v/>
      </c>
      <c r="P39" s="81" t="str">
        <f>IF(AND('Mapa final'!$Y$28="Baja",'Mapa final'!$AA$28="Menor"),CONCATENATE("R4C",'Mapa final'!$O$28),"")</f>
        <v>R4C1</v>
      </c>
      <c r="Q39" s="82" t="str">
        <f>IF(AND('Mapa final'!$Y$29="Baja",'Mapa final'!$AA$29="Menor"),CONCATENATE("R4C",'Mapa final'!$O$29),"")</f>
        <v/>
      </c>
      <c r="R39" s="82" t="str">
        <f>IF(AND('Mapa final'!$Y$30="Baja",'Mapa final'!$AA$30="Menor"),CONCATENATE("R4C",'Mapa final'!$O$30),"")</f>
        <v/>
      </c>
      <c r="S39" s="82" t="str">
        <f>IF(AND('Mapa final'!$Y$31="Baja",'Mapa final'!$AA$31="Menor"),CONCATENATE("R4C",'Mapa final'!$O$31),"")</f>
        <v/>
      </c>
      <c r="T39" s="82" t="str">
        <f>IF(AND('Mapa final'!$Y$32="Baja",'Mapa final'!$AA$32="Menor"),CONCATENATE("R4C",'Mapa final'!$O$32),"")</f>
        <v/>
      </c>
      <c r="U39" s="83" t="str">
        <f>IF(AND('Mapa final'!$Y$33="Baja",'Mapa final'!$AA$33="Menor"),CONCATENATE("R4C",'Mapa final'!$O$33),"")</f>
        <v/>
      </c>
      <c r="V39" s="81" t="str">
        <f>IF(AND('Mapa final'!$Y$28="Baja",'Mapa final'!$AA$28="Moderado"),CONCATENATE("R4C",'Mapa final'!$O$28),"")</f>
        <v/>
      </c>
      <c r="W39" s="82" t="str">
        <f>IF(AND('Mapa final'!$Y$29="Baja",'Mapa final'!$AA$29="Moderado"),CONCATENATE("R4C",'Mapa final'!$O$29),"")</f>
        <v/>
      </c>
      <c r="X39" s="82" t="str">
        <f>IF(AND('Mapa final'!$Y$30="Baja",'Mapa final'!$AA$30="Moderado"),CONCATENATE("R4C",'Mapa final'!$O$30),"")</f>
        <v/>
      </c>
      <c r="Y39" s="82" t="str">
        <f>IF(AND('Mapa final'!$Y$31="Baja",'Mapa final'!$AA$31="Moderado"),CONCATENATE("R4C",'Mapa final'!$O$31),"")</f>
        <v/>
      </c>
      <c r="Z39" s="82" t="str">
        <f>IF(AND('Mapa final'!$Y$32="Baja",'Mapa final'!$AA$32="Moderado"),CONCATENATE("R4C",'Mapa final'!$O$32),"")</f>
        <v/>
      </c>
      <c r="AA39" s="83" t="str">
        <f>IF(AND('Mapa final'!$Y$33="Baja",'Mapa final'!$AA$33="Moderado"),CONCATENATE("R4C",'Mapa final'!$O$33),"")</f>
        <v/>
      </c>
      <c r="AB39" s="66" t="str">
        <f>IF(AND('Mapa final'!$Y$28="Baja",'Mapa final'!$AA$28="Mayor"),CONCATENATE("R4C",'Mapa final'!$O$28),"")</f>
        <v/>
      </c>
      <c r="AC39" s="67" t="str">
        <f>IF(AND('Mapa final'!$Y$29="Baja",'Mapa final'!$AA$29="Mayor"),CONCATENATE("R4C",'Mapa final'!$O$29),"")</f>
        <v/>
      </c>
      <c r="AD39" s="67" t="str">
        <f>IF(AND('Mapa final'!$Y$30="Baja",'Mapa final'!$AA$30="Mayor"),CONCATENATE("R4C",'Mapa final'!$O$30),"")</f>
        <v/>
      </c>
      <c r="AE39" s="67" t="str">
        <f>IF(AND('Mapa final'!$Y$31="Baja",'Mapa final'!$AA$31="Mayor"),CONCATENATE("R4C",'Mapa final'!$O$31),"")</f>
        <v/>
      </c>
      <c r="AF39" s="67" t="str">
        <f>IF(AND('Mapa final'!$Y$32="Baja",'Mapa final'!$AA$32="Mayor"),CONCATENATE("R4C",'Mapa final'!$O$32),"")</f>
        <v/>
      </c>
      <c r="AG39" s="68" t="str">
        <f>IF(AND('Mapa final'!$Y$33="Baja",'Mapa final'!$AA$33="Mayor"),CONCATENATE("R4C",'Mapa final'!$O$33),"")</f>
        <v/>
      </c>
      <c r="AH39" s="69" t="str">
        <f>IF(AND('Mapa final'!$Y$28="Baja",'Mapa final'!$AA$28="Catastrófico"),CONCATENATE("R4C",'Mapa final'!$O$28),"")</f>
        <v/>
      </c>
      <c r="AI39" s="70" t="str">
        <f>IF(AND('Mapa final'!$Y$29="Baja",'Mapa final'!$AA$29="Catastrófico"),CONCATENATE("R4C",'Mapa final'!$O$29),"")</f>
        <v/>
      </c>
      <c r="AJ39" s="70" t="str">
        <f>IF(AND('Mapa final'!$Y$30="Baja",'Mapa final'!$AA$30="Catastrófico"),CONCATENATE("R4C",'Mapa final'!$O$30),"")</f>
        <v/>
      </c>
      <c r="AK39" s="70" t="str">
        <f>IF(AND('Mapa final'!$Y$31="Baja",'Mapa final'!$AA$31="Catastrófico"),CONCATENATE("R4C",'Mapa final'!$O$31),"")</f>
        <v/>
      </c>
      <c r="AL39" s="70" t="str">
        <f>IF(AND('Mapa final'!$Y$32="Baja",'Mapa final'!$AA$32="Catastrófico"),CONCATENATE("R4C",'Mapa final'!$O$32),"")</f>
        <v/>
      </c>
      <c r="AM39" s="71" t="str">
        <f>IF(AND('Mapa final'!$Y$33="Baja",'Mapa final'!$AA$33="Catastrófico"),CONCATENATE("R4C",'Mapa final'!$O$33),"")</f>
        <v/>
      </c>
      <c r="AN39" s="97"/>
      <c r="AO39" s="365"/>
      <c r="AP39" s="366"/>
      <c r="AQ39" s="366"/>
      <c r="AR39" s="366"/>
      <c r="AS39" s="366"/>
      <c r="AT39" s="36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x14ac:dyDescent="0.25">
      <c r="A40" s="97"/>
      <c r="B40" s="246"/>
      <c r="C40" s="246"/>
      <c r="D40" s="247"/>
      <c r="E40" s="345"/>
      <c r="F40" s="344"/>
      <c r="G40" s="344"/>
      <c r="H40" s="344"/>
      <c r="I40" s="344"/>
      <c r="J40" s="90" t="str">
        <f>IF(AND('Mapa final'!$Y$34="Baja",'Mapa final'!$AA$34="Leve"),CONCATENATE("R5C",'Mapa final'!$O$34),"")</f>
        <v/>
      </c>
      <c r="K40" s="91" t="str">
        <f>IF(AND('Mapa final'!$Y$35="Baja",'Mapa final'!$AA$35="Leve"),CONCATENATE("R5C",'Mapa final'!$O$35),"")</f>
        <v/>
      </c>
      <c r="L40" s="91" t="str">
        <f>IF(AND('Mapa final'!$Y$36="Baja",'Mapa final'!$AA$36="Leve"),CONCATENATE("R5C",'Mapa final'!$O$36),"")</f>
        <v/>
      </c>
      <c r="M40" s="91" t="str">
        <f>IF(AND('Mapa final'!$Y$37="Baja",'Mapa final'!$AA$37="Leve"),CONCATENATE("R5C",'Mapa final'!$O$37),"")</f>
        <v/>
      </c>
      <c r="N40" s="91" t="str">
        <f>IF(AND('Mapa final'!$Y$38="Baja",'Mapa final'!$AA$38="Leve"),CONCATENATE("R5C",'Mapa final'!$O$38),"")</f>
        <v/>
      </c>
      <c r="O40" s="92" t="str">
        <f>IF(AND('Mapa final'!$Y$39="Baja",'Mapa final'!$AA$39="Leve"),CONCATENATE("R5C",'Mapa final'!$O$39),"")</f>
        <v/>
      </c>
      <c r="P40" s="81" t="str">
        <f>IF(AND('Mapa final'!$Y$34="Baja",'Mapa final'!$AA$34="Menor"),CONCATENATE("R5C",'Mapa final'!$O$34),"")</f>
        <v>R5C1</v>
      </c>
      <c r="Q40" s="82" t="str">
        <f>IF(AND('Mapa final'!$Y$35="Baja",'Mapa final'!$AA$35="Menor"),CONCATENATE("R5C",'Mapa final'!$O$35),"")</f>
        <v/>
      </c>
      <c r="R40" s="82" t="str">
        <f>IF(AND('Mapa final'!$Y$36="Baja",'Mapa final'!$AA$36="Menor"),CONCATENATE("R5C",'Mapa final'!$O$36),"")</f>
        <v/>
      </c>
      <c r="S40" s="82" t="str">
        <f>IF(AND('Mapa final'!$Y$37="Baja",'Mapa final'!$AA$37="Menor"),CONCATENATE("R5C",'Mapa final'!$O$37),"")</f>
        <v/>
      </c>
      <c r="T40" s="82" t="str">
        <f>IF(AND('Mapa final'!$Y$38="Baja",'Mapa final'!$AA$38="Menor"),CONCATENATE("R5C",'Mapa final'!$O$38),"")</f>
        <v/>
      </c>
      <c r="U40" s="83" t="str">
        <f>IF(AND('Mapa final'!$Y$39="Baja",'Mapa final'!$AA$39="Menor"),CONCATENATE("R5C",'Mapa final'!$O$39),"")</f>
        <v/>
      </c>
      <c r="V40" s="81" t="str">
        <f>IF(AND('Mapa final'!$Y$34="Baja",'Mapa final'!$AA$34="Moderado"),CONCATENATE("R5C",'Mapa final'!$O$34),"")</f>
        <v/>
      </c>
      <c r="W40" s="82" t="str">
        <f>IF(AND('Mapa final'!$Y$35="Baja",'Mapa final'!$AA$35="Moderado"),CONCATENATE("R5C",'Mapa final'!$O$35),"")</f>
        <v/>
      </c>
      <c r="X40" s="82" t="str">
        <f>IF(AND('Mapa final'!$Y$36="Baja",'Mapa final'!$AA$36="Moderado"),CONCATENATE("R5C",'Mapa final'!$O$36),"")</f>
        <v/>
      </c>
      <c r="Y40" s="82" t="str">
        <f>IF(AND('Mapa final'!$Y$37="Baja",'Mapa final'!$AA$37="Moderado"),CONCATENATE("R5C",'Mapa final'!$O$37),"")</f>
        <v/>
      </c>
      <c r="Z40" s="82" t="str">
        <f>IF(AND('Mapa final'!$Y$38="Baja",'Mapa final'!$AA$38="Moderado"),CONCATENATE("R5C",'Mapa final'!$O$38),"")</f>
        <v/>
      </c>
      <c r="AA40" s="83" t="str">
        <f>IF(AND('Mapa final'!$Y$39="Baja",'Mapa final'!$AA$39="Moderado"),CONCATENATE("R5C",'Mapa final'!$O$39),"")</f>
        <v/>
      </c>
      <c r="AB40" s="66" t="str">
        <f>IF(AND('Mapa final'!$Y$34="Baja",'Mapa final'!$AA$34="Mayor"),CONCATENATE("R5C",'Mapa final'!$O$34),"")</f>
        <v/>
      </c>
      <c r="AC40" s="67" t="str">
        <f>IF(AND('Mapa final'!$Y$35="Baja",'Mapa final'!$AA$35="Mayor"),CONCATENATE("R5C",'Mapa final'!$O$35),"")</f>
        <v/>
      </c>
      <c r="AD40" s="67" t="str">
        <f>IF(AND('Mapa final'!$Y$36="Baja",'Mapa final'!$AA$36="Mayor"),CONCATENATE("R5C",'Mapa final'!$O$36),"")</f>
        <v/>
      </c>
      <c r="AE40" s="67" t="str">
        <f>IF(AND('Mapa final'!$Y$37="Baja",'Mapa final'!$AA$37="Mayor"),CONCATENATE("R5C",'Mapa final'!$O$37),"")</f>
        <v/>
      </c>
      <c r="AF40" s="67" t="str">
        <f>IF(AND('Mapa final'!$Y$38="Baja",'Mapa final'!$AA$38="Mayor"),CONCATENATE("R5C",'Mapa final'!$O$38),"")</f>
        <v/>
      </c>
      <c r="AG40" s="68" t="str">
        <f>IF(AND('Mapa final'!$Y$39="Baja",'Mapa final'!$AA$39="Mayor"),CONCATENATE("R5C",'Mapa final'!$O$39),"")</f>
        <v/>
      </c>
      <c r="AH40" s="69" t="str">
        <f>IF(AND('Mapa final'!$Y$34="Baja",'Mapa final'!$AA$34="Catastrófico"),CONCATENATE("R5C",'Mapa final'!$O$34),"")</f>
        <v/>
      </c>
      <c r="AI40" s="70" t="str">
        <f>IF(AND('Mapa final'!$Y$35="Baja",'Mapa final'!$AA$35="Catastrófico"),CONCATENATE("R5C",'Mapa final'!$O$35),"")</f>
        <v/>
      </c>
      <c r="AJ40" s="70" t="str">
        <f>IF(AND('Mapa final'!$Y$36="Baja",'Mapa final'!$AA$36="Catastrófico"),CONCATENATE("R5C",'Mapa final'!$O$36),"")</f>
        <v/>
      </c>
      <c r="AK40" s="70" t="str">
        <f>IF(AND('Mapa final'!$Y$37="Baja",'Mapa final'!$AA$37="Catastrófico"),CONCATENATE("R5C",'Mapa final'!$O$37),"")</f>
        <v/>
      </c>
      <c r="AL40" s="70" t="str">
        <f>IF(AND('Mapa final'!$Y$38="Baja",'Mapa final'!$AA$38="Catastrófico"),CONCATENATE("R5C",'Mapa final'!$O$38),"")</f>
        <v/>
      </c>
      <c r="AM40" s="71" t="str">
        <f>IF(AND('Mapa final'!$Y$39="Baja",'Mapa final'!$AA$39="Catastrófico"),CONCATENATE("R5C",'Mapa final'!$O$39),"")</f>
        <v/>
      </c>
      <c r="AN40" s="97"/>
      <c r="AO40" s="365"/>
      <c r="AP40" s="366"/>
      <c r="AQ40" s="366"/>
      <c r="AR40" s="366"/>
      <c r="AS40" s="366"/>
      <c r="AT40" s="36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x14ac:dyDescent="0.25">
      <c r="A41" s="97"/>
      <c r="B41" s="246"/>
      <c r="C41" s="246"/>
      <c r="D41" s="247"/>
      <c r="E41" s="345"/>
      <c r="F41" s="344"/>
      <c r="G41" s="344"/>
      <c r="H41" s="344"/>
      <c r="I41" s="344"/>
      <c r="J41" s="90" t="str">
        <f>IF(AND('Mapa final'!$Y$40="Baja",'Mapa final'!$AA$40="Leve"),CONCATENATE("R6C",'Mapa final'!$O$40),"")</f>
        <v/>
      </c>
      <c r="K41" s="91" t="str">
        <f>IF(AND('Mapa final'!$Y$41="Baja",'Mapa final'!$AA$41="Leve"),CONCATENATE("R6C",'Mapa final'!$O$41),"")</f>
        <v/>
      </c>
      <c r="L41" s="91" t="str">
        <f>IF(AND('Mapa final'!$Y$42="Baja",'Mapa final'!$AA$42="Leve"),CONCATENATE("R6C",'Mapa final'!$O$42),"")</f>
        <v/>
      </c>
      <c r="M41" s="91" t="str">
        <f>IF(AND('Mapa final'!$Y$43="Baja",'Mapa final'!$AA$43="Leve"),CONCATENATE("R6C",'Mapa final'!$O$43),"")</f>
        <v/>
      </c>
      <c r="N41" s="91" t="str">
        <f>IF(AND('Mapa final'!$Y$44="Baja",'Mapa final'!$AA$44="Leve"),CONCATENATE("R6C",'Mapa final'!$O$44),"")</f>
        <v/>
      </c>
      <c r="O41" s="92" t="str">
        <f>IF(AND('Mapa final'!$Y$45="Baja",'Mapa final'!$AA$45="Leve"),CONCATENATE("R6C",'Mapa final'!$O$45),"")</f>
        <v/>
      </c>
      <c r="P41" s="81" t="str">
        <f>IF(AND('Mapa final'!$Y$40="Baja",'Mapa final'!$AA$40="Menor"),CONCATENATE("R6C",'Mapa final'!$O$40),"")</f>
        <v/>
      </c>
      <c r="Q41" s="82" t="str">
        <f>IF(AND('Mapa final'!$Y$41="Baja",'Mapa final'!$AA$41="Menor"),CONCATENATE("R6C",'Mapa final'!$O$41),"")</f>
        <v/>
      </c>
      <c r="R41" s="82" t="str">
        <f>IF(AND('Mapa final'!$Y$42="Baja",'Mapa final'!$AA$42="Menor"),CONCATENATE("R6C",'Mapa final'!$O$42),"")</f>
        <v/>
      </c>
      <c r="S41" s="82" t="str">
        <f>IF(AND('Mapa final'!$Y$43="Baja",'Mapa final'!$AA$43="Menor"),CONCATENATE("R6C",'Mapa final'!$O$43),"")</f>
        <v/>
      </c>
      <c r="T41" s="82" t="str">
        <f>IF(AND('Mapa final'!$Y$44="Baja",'Mapa final'!$AA$44="Menor"),CONCATENATE("R6C",'Mapa final'!$O$44),"")</f>
        <v/>
      </c>
      <c r="U41" s="83" t="str">
        <f>IF(AND('Mapa final'!$Y$45="Baja",'Mapa final'!$AA$45="Menor"),CONCATENATE("R6C",'Mapa final'!$O$45),"")</f>
        <v/>
      </c>
      <c r="V41" s="81" t="str">
        <f>IF(AND('Mapa final'!$Y$40="Baja",'Mapa final'!$AA$40="Moderado"),CONCATENATE("R6C",'Mapa final'!$O$40),"")</f>
        <v/>
      </c>
      <c r="W41" s="82" t="str">
        <f>IF(AND('Mapa final'!$Y$41="Baja",'Mapa final'!$AA$41="Moderado"),CONCATENATE("R6C",'Mapa final'!$O$41),"")</f>
        <v/>
      </c>
      <c r="X41" s="82" t="str">
        <f>IF(AND('Mapa final'!$Y$42="Baja",'Mapa final'!$AA$42="Moderado"),CONCATENATE("R6C",'Mapa final'!$O$42),"")</f>
        <v/>
      </c>
      <c r="Y41" s="82" t="str">
        <f>IF(AND('Mapa final'!$Y$43="Baja",'Mapa final'!$AA$43="Moderado"),CONCATENATE("R6C",'Mapa final'!$O$43),"")</f>
        <v/>
      </c>
      <c r="Z41" s="82" t="str">
        <f>IF(AND('Mapa final'!$Y$44="Baja",'Mapa final'!$AA$44="Moderado"),CONCATENATE("R6C",'Mapa final'!$O$44),"")</f>
        <v/>
      </c>
      <c r="AA41" s="83" t="str">
        <f>IF(AND('Mapa final'!$Y$45="Baja",'Mapa final'!$AA$45="Moderado"),CONCATENATE("R6C",'Mapa final'!$O$45),"")</f>
        <v/>
      </c>
      <c r="AB41" s="66" t="str">
        <f>IF(AND('Mapa final'!$Y$40="Baja",'Mapa final'!$AA$40="Mayor"),CONCATENATE("R6C",'Mapa final'!$O$40),"")</f>
        <v/>
      </c>
      <c r="AC41" s="67" t="str">
        <f>IF(AND('Mapa final'!$Y$41="Baja",'Mapa final'!$AA$41="Mayor"),CONCATENATE("R6C",'Mapa final'!$O$41),"")</f>
        <v/>
      </c>
      <c r="AD41" s="67" t="str">
        <f>IF(AND('Mapa final'!$Y$42="Baja",'Mapa final'!$AA$42="Mayor"),CONCATENATE("R6C",'Mapa final'!$O$42),"")</f>
        <v/>
      </c>
      <c r="AE41" s="67" t="str">
        <f>IF(AND('Mapa final'!$Y$43="Baja",'Mapa final'!$AA$43="Mayor"),CONCATENATE("R6C",'Mapa final'!$O$43),"")</f>
        <v/>
      </c>
      <c r="AF41" s="67" t="str">
        <f>IF(AND('Mapa final'!$Y$44="Baja",'Mapa final'!$AA$44="Mayor"),CONCATENATE("R6C",'Mapa final'!$O$44),"")</f>
        <v/>
      </c>
      <c r="AG41" s="68" t="str">
        <f>IF(AND('Mapa final'!$Y$45="Baja",'Mapa final'!$AA$45="Mayor"),CONCATENATE("R6C",'Mapa final'!$O$45),"")</f>
        <v/>
      </c>
      <c r="AH41" s="69" t="str">
        <f>IF(AND('Mapa final'!$Y$40="Baja",'Mapa final'!$AA$40="Catastrófico"),CONCATENATE("R6C",'Mapa final'!$O$40),"")</f>
        <v/>
      </c>
      <c r="AI41" s="70" t="str">
        <f>IF(AND('Mapa final'!$Y$41="Baja",'Mapa final'!$AA$41="Catastrófico"),CONCATENATE("R6C",'Mapa final'!$O$41),"")</f>
        <v/>
      </c>
      <c r="AJ41" s="70" t="str">
        <f>IF(AND('Mapa final'!$Y$42="Baja",'Mapa final'!$AA$42="Catastrófico"),CONCATENATE("R6C",'Mapa final'!$O$42),"")</f>
        <v/>
      </c>
      <c r="AK41" s="70" t="str">
        <f>IF(AND('Mapa final'!$Y$43="Baja",'Mapa final'!$AA$43="Catastrófico"),CONCATENATE("R6C",'Mapa final'!$O$43),"")</f>
        <v/>
      </c>
      <c r="AL41" s="70" t="str">
        <f>IF(AND('Mapa final'!$Y$44="Baja",'Mapa final'!$AA$44="Catastrófico"),CONCATENATE("R6C",'Mapa final'!$O$44),"")</f>
        <v/>
      </c>
      <c r="AM41" s="71" t="str">
        <f>IF(AND('Mapa final'!$Y$45="Baja",'Mapa final'!$AA$45="Catastrófico"),CONCATENATE("R6C",'Mapa final'!$O$45),"")</f>
        <v/>
      </c>
      <c r="AN41" s="97"/>
      <c r="AO41" s="365"/>
      <c r="AP41" s="366"/>
      <c r="AQ41" s="366"/>
      <c r="AR41" s="366"/>
      <c r="AS41" s="366"/>
      <c r="AT41" s="36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x14ac:dyDescent="0.25">
      <c r="A42" s="97"/>
      <c r="B42" s="246"/>
      <c r="C42" s="246"/>
      <c r="D42" s="247"/>
      <c r="E42" s="345"/>
      <c r="F42" s="344"/>
      <c r="G42" s="344"/>
      <c r="H42" s="344"/>
      <c r="I42" s="344"/>
      <c r="J42" s="90" t="str">
        <f>IF(AND('Mapa final'!$Y$46="Baja",'Mapa final'!$AA$46="Leve"),CONCATENATE("R7C",'Mapa final'!$O$46),"")</f>
        <v/>
      </c>
      <c r="K42" s="91" t="str">
        <f>IF(AND('Mapa final'!$Y$47="Baja",'Mapa final'!$AA$47="Leve"),CONCATENATE("R7C",'Mapa final'!$O$47),"")</f>
        <v/>
      </c>
      <c r="L42" s="91" t="str">
        <f>IF(AND('Mapa final'!$Y$48="Baja",'Mapa final'!$AA$48="Leve"),CONCATENATE("R7C",'Mapa final'!$O$48),"")</f>
        <v/>
      </c>
      <c r="M42" s="91" t="str">
        <f>IF(AND('Mapa final'!$Y$49="Baja",'Mapa final'!$AA$49="Leve"),CONCATENATE("R7C",'Mapa final'!$O$49),"")</f>
        <v/>
      </c>
      <c r="N42" s="91" t="str">
        <f>IF(AND('Mapa final'!$Y$50="Baja",'Mapa final'!$AA$50="Leve"),CONCATENATE("R7C",'Mapa final'!$O$50),"")</f>
        <v/>
      </c>
      <c r="O42" s="92" t="str">
        <f>IF(AND('Mapa final'!$Y$51="Baja",'Mapa final'!$AA$51="Leve"),CONCATENATE("R7C",'Mapa final'!$O$51),"")</f>
        <v/>
      </c>
      <c r="P42" s="81" t="str">
        <f>IF(AND('Mapa final'!$Y$46="Baja",'Mapa final'!$AA$46="Menor"),CONCATENATE("R7C",'Mapa final'!$O$46),"")</f>
        <v/>
      </c>
      <c r="Q42" s="82" t="str">
        <f>IF(AND('Mapa final'!$Y$47="Baja",'Mapa final'!$AA$47="Menor"),CONCATENATE("R7C",'Mapa final'!$O$47),"")</f>
        <v/>
      </c>
      <c r="R42" s="82" t="str">
        <f>IF(AND('Mapa final'!$Y$48="Baja",'Mapa final'!$AA$48="Menor"),CONCATENATE("R7C",'Mapa final'!$O$48),"")</f>
        <v/>
      </c>
      <c r="S42" s="82" t="str">
        <f>IF(AND('Mapa final'!$Y$49="Baja",'Mapa final'!$AA$49="Menor"),CONCATENATE("R7C",'Mapa final'!$O$49),"")</f>
        <v/>
      </c>
      <c r="T42" s="82" t="str">
        <f>IF(AND('Mapa final'!$Y$50="Baja",'Mapa final'!$AA$50="Menor"),CONCATENATE("R7C",'Mapa final'!$O$50),"")</f>
        <v/>
      </c>
      <c r="U42" s="83" t="str">
        <f>IF(AND('Mapa final'!$Y$51="Baja",'Mapa final'!$AA$51="Menor"),CONCATENATE("R7C",'Mapa final'!$O$51),"")</f>
        <v/>
      </c>
      <c r="V42" s="81" t="str">
        <f>IF(AND('Mapa final'!$Y$46="Baja",'Mapa final'!$AA$46="Moderado"),CONCATENATE("R7C",'Mapa final'!$O$46),"")</f>
        <v/>
      </c>
      <c r="W42" s="82" t="str">
        <f>IF(AND('Mapa final'!$Y$47="Baja",'Mapa final'!$AA$47="Moderado"),CONCATENATE("R7C",'Mapa final'!$O$47),"")</f>
        <v/>
      </c>
      <c r="X42" s="82" t="str">
        <f>IF(AND('Mapa final'!$Y$48="Baja",'Mapa final'!$AA$48="Moderado"),CONCATENATE("R7C",'Mapa final'!$O$48),"")</f>
        <v/>
      </c>
      <c r="Y42" s="82" t="str">
        <f>IF(AND('Mapa final'!$Y$49="Baja",'Mapa final'!$AA$49="Moderado"),CONCATENATE("R7C",'Mapa final'!$O$49),"")</f>
        <v/>
      </c>
      <c r="Z42" s="82" t="str">
        <f>IF(AND('Mapa final'!$Y$50="Baja",'Mapa final'!$AA$50="Moderado"),CONCATENATE("R7C",'Mapa final'!$O$50),"")</f>
        <v/>
      </c>
      <c r="AA42" s="83" t="str">
        <f>IF(AND('Mapa final'!$Y$51="Baja",'Mapa final'!$AA$51="Moderado"),CONCATENATE("R7C",'Mapa final'!$O$51),"")</f>
        <v/>
      </c>
      <c r="AB42" s="66" t="str">
        <f>IF(AND('Mapa final'!$Y$46="Baja",'Mapa final'!$AA$46="Mayor"),CONCATENATE("R7C",'Mapa final'!$O$46),"")</f>
        <v/>
      </c>
      <c r="AC42" s="67" t="str">
        <f>IF(AND('Mapa final'!$Y$47="Baja",'Mapa final'!$AA$47="Mayor"),CONCATENATE("R7C",'Mapa final'!$O$47),"")</f>
        <v/>
      </c>
      <c r="AD42" s="67" t="str">
        <f>IF(AND('Mapa final'!$Y$48="Baja",'Mapa final'!$AA$48="Mayor"),CONCATENATE("R7C",'Mapa final'!$O$48),"")</f>
        <v/>
      </c>
      <c r="AE42" s="67" t="str">
        <f>IF(AND('Mapa final'!$Y$49="Baja",'Mapa final'!$AA$49="Mayor"),CONCATENATE("R7C",'Mapa final'!$O$49),"")</f>
        <v/>
      </c>
      <c r="AF42" s="67" t="str">
        <f>IF(AND('Mapa final'!$Y$50="Baja",'Mapa final'!$AA$50="Mayor"),CONCATENATE("R7C",'Mapa final'!$O$50),"")</f>
        <v/>
      </c>
      <c r="AG42" s="68" t="str">
        <f>IF(AND('Mapa final'!$Y$51="Baja",'Mapa final'!$AA$51="Mayor"),CONCATENATE("R7C",'Mapa final'!$O$51),"")</f>
        <v/>
      </c>
      <c r="AH42" s="69" t="str">
        <f>IF(AND('Mapa final'!$Y$46="Baja",'Mapa final'!$AA$46="Catastrófico"),CONCATENATE("R7C",'Mapa final'!$O$46),"")</f>
        <v/>
      </c>
      <c r="AI42" s="70" t="str">
        <f>IF(AND('Mapa final'!$Y$47="Baja",'Mapa final'!$AA$47="Catastrófico"),CONCATENATE("R7C",'Mapa final'!$O$47),"")</f>
        <v/>
      </c>
      <c r="AJ42" s="70" t="str">
        <f>IF(AND('Mapa final'!$Y$48="Baja",'Mapa final'!$AA$48="Catastrófico"),CONCATENATE("R7C",'Mapa final'!$O$48),"")</f>
        <v/>
      </c>
      <c r="AK42" s="70" t="str">
        <f>IF(AND('Mapa final'!$Y$49="Baja",'Mapa final'!$AA$49="Catastrófico"),CONCATENATE("R7C",'Mapa final'!$O$49),"")</f>
        <v/>
      </c>
      <c r="AL42" s="70" t="str">
        <f>IF(AND('Mapa final'!$Y$50="Baja",'Mapa final'!$AA$50="Catastrófico"),CONCATENATE("R7C",'Mapa final'!$O$50),"")</f>
        <v/>
      </c>
      <c r="AM42" s="71" t="str">
        <f>IF(AND('Mapa final'!$Y$51="Baja",'Mapa final'!$AA$51="Catastrófico"),CONCATENATE("R7C",'Mapa final'!$O$51),"")</f>
        <v/>
      </c>
      <c r="AN42" s="97"/>
      <c r="AO42" s="365"/>
      <c r="AP42" s="366"/>
      <c r="AQ42" s="366"/>
      <c r="AR42" s="366"/>
      <c r="AS42" s="366"/>
      <c r="AT42" s="36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x14ac:dyDescent="0.25">
      <c r="A43" s="97"/>
      <c r="B43" s="246"/>
      <c r="C43" s="246"/>
      <c r="D43" s="247"/>
      <c r="E43" s="345"/>
      <c r="F43" s="344"/>
      <c r="G43" s="344"/>
      <c r="H43" s="344"/>
      <c r="I43" s="344"/>
      <c r="J43" s="90" t="str">
        <f>IF(AND('Mapa final'!$Y$52="Baja",'Mapa final'!$AA$52="Leve"),CONCATENATE("R8C",'Mapa final'!$O$52),"")</f>
        <v/>
      </c>
      <c r="K43" s="91" t="str">
        <f>IF(AND('Mapa final'!$Y$53="Baja",'Mapa final'!$AA$53="Leve"),CONCATENATE("R8C",'Mapa final'!$O$53),"")</f>
        <v/>
      </c>
      <c r="L43" s="91" t="str">
        <f>IF(AND('Mapa final'!$Y$54="Baja",'Mapa final'!$AA$54="Leve"),CONCATENATE("R8C",'Mapa final'!$O$54),"")</f>
        <v/>
      </c>
      <c r="M43" s="91" t="str">
        <f>IF(AND('Mapa final'!$Y$55="Baja",'Mapa final'!$AA$55="Leve"),CONCATENATE("R8C",'Mapa final'!$O$55),"")</f>
        <v/>
      </c>
      <c r="N43" s="91" t="str">
        <f>IF(AND('Mapa final'!$Y$56="Baja",'Mapa final'!$AA$56="Leve"),CONCATENATE("R8C",'Mapa final'!$O$56),"")</f>
        <v/>
      </c>
      <c r="O43" s="92" t="str">
        <f>IF(AND('Mapa final'!$Y$57="Baja",'Mapa final'!$AA$57="Leve"),CONCATENATE("R8C",'Mapa final'!$O$57),"")</f>
        <v/>
      </c>
      <c r="P43" s="81" t="str">
        <f>IF(AND('Mapa final'!$Y$52="Baja",'Mapa final'!$AA$52="Menor"),CONCATENATE("R8C",'Mapa final'!$O$52),"")</f>
        <v/>
      </c>
      <c r="Q43" s="82" t="str">
        <f>IF(AND('Mapa final'!$Y$53="Baja",'Mapa final'!$AA$53="Menor"),CONCATENATE("R8C",'Mapa final'!$O$53),"")</f>
        <v/>
      </c>
      <c r="R43" s="82" t="str">
        <f>IF(AND('Mapa final'!$Y$54="Baja",'Mapa final'!$AA$54="Menor"),CONCATENATE("R8C",'Mapa final'!$O$54),"")</f>
        <v/>
      </c>
      <c r="S43" s="82" t="str">
        <f>IF(AND('Mapa final'!$Y$55="Baja",'Mapa final'!$AA$55="Menor"),CONCATENATE("R8C",'Mapa final'!$O$55),"")</f>
        <v/>
      </c>
      <c r="T43" s="82" t="str">
        <f>IF(AND('Mapa final'!$Y$56="Baja",'Mapa final'!$AA$56="Menor"),CONCATENATE("R8C",'Mapa final'!$O$56),"")</f>
        <v/>
      </c>
      <c r="U43" s="83" t="str">
        <f>IF(AND('Mapa final'!$Y$57="Baja",'Mapa final'!$AA$57="Menor"),CONCATENATE("R8C",'Mapa final'!$O$57),"")</f>
        <v/>
      </c>
      <c r="V43" s="81" t="str">
        <f>IF(AND('Mapa final'!$Y$52="Baja",'Mapa final'!$AA$52="Moderado"),CONCATENATE("R8C",'Mapa final'!$O$52),"")</f>
        <v/>
      </c>
      <c r="W43" s="82" t="str">
        <f>IF(AND('Mapa final'!$Y$53="Baja",'Mapa final'!$AA$53="Moderado"),CONCATENATE("R8C",'Mapa final'!$O$53),"")</f>
        <v/>
      </c>
      <c r="X43" s="82" t="str">
        <f>IF(AND('Mapa final'!$Y$54="Baja",'Mapa final'!$AA$54="Moderado"),CONCATENATE("R8C",'Mapa final'!$O$54),"")</f>
        <v/>
      </c>
      <c r="Y43" s="82" t="str">
        <f>IF(AND('Mapa final'!$Y$55="Baja",'Mapa final'!$AA$55="Moderado"),CONCATENATE("R8C",'Mapa final'!$O$55),"")</f>
        <v/>
      </c>
      <c r="Z43" s="82" t="str">
        <f>IF(AND('Mapa final'!$Y$56="Baja",'Mapa final'!$AA$56="Moderado"),CONCATENATE("R8C",'Mapa final'!$O$56),"")</f>
        <v/>
      </c>
      <c r="AA43" s="83" t="str">
        <f>IF(AND('Mapa final'!$Y$57="Baja",'Mapa final'!$AA$57="Moderado"),CONCATENATE("R8C",'Mapa final'!$O$57),"")</f>
        <v/>
      </c>
      <c r="AB43" s="66" t="str">
        <f>IF(AND('Mapa final'!$Y$52="Baja",'Mapa final'!$AA$52="Mayor"),CONCATENATE("R8C",'Mapa final'!$O$52),"")</f>
        <v/>
      </c>
      <c r="AC43" s="67" t="str">
        <f>IF(AND('Mapa final'!$Y$53="Baja",'Mapa final'!$AA$53="Mayor"),CONCATENATE("R8C",'Mapa final'!$O$53),"")</f>
        <v/>
      </c>
      <c r="AD43" s="67" t="str">
        <f>IF(AND('Mapa final'!$Y$54="Baja",'Mapa final'!$AA$54="Mayor"),CONCATENATE("R8C",'Mapa final'!$O$54),"")</f>
        <v/>
      </c>
      <c r="AE43" s="67" t="str">
        <f>IF(AND('Mapa final'!$Y$55="Baja",'Mapa final'!$AA$55="Mayor"),CONCATENATE("R8C",'Mapa final'!$O$55),"")</f>
        <v/>
      </c>
      <c r="AF43" s="67" t="str">
        <f>IF(AND('Mapa final'!$Y$56="Baja",'Mapa final'!$AA$56="Mayor"),CONCATENATE("R8C",'Mapa final'!$O$56),"")</f>
        <v/>
      </c>
      <c r="AG43" s="68" t="str">
        <f>IF(AND('Mapa final'!$Y$57="Baja",'Mapa final'!$AA$57="Mayor"),CONCATENATE("R8C",'Mapa final'!$O$57),"")</f>
        <v/>
      </c>
      <c r="AH43" s="69" t="str">
        <f>IF(AND('Mapa final'!$Y$52="Baja",'Mapa final'!$AA$52="Catastrófico"),CONCATENATE("R8C",'Mapa final'!$O$52),"")</f>
        <v/>
      </c>
      <c r="AI43" s="70" t="str">
        <f>IF(AND('Mapa final'!$Y$53="Baja",'Mapa final'!$AA$53="Catastrófico"),CONCATENATE("R8C",'Mapa final'!$O$53),"")</f>
        <v/>
      </c>
      <c r="AJ43" s="70" t="str">
        <f>IF(AND('Mapa final'!$Y$54="Baja",'Mapa final'!$AA$54="Catastrófico"),CONCATENATE("R8C",'Mapa final'!$O$54),"")</f>
        <v/>
      </c>
      <c r="AK43" s="70" t="str">
        <f>IF(AND('Mapa final'!$Y$55="Baja",'Mapa final'!$AA$55="Catastrófico"),CONCATENATE("R8C",'Mapa final'!$O$55),"")</f>
        <v/>
      </c>
      <c r="AL43" s="70" t="str">
        <f>IF(AND('Mapa final'!$Y$56="Baja",'Mapa final'!$AA$56="Catastrófico"),CONCATENATE("R8C",'Mapa final'!$O$56),"")</f>
        <v/>
      </c>
      <c r="AM43" s="71" t="str">
        <f>IF(AND('Mapa final'!$Y$57="Baja",'Mapa final'!$AA$57="Catastrófico"),CONCATENATE("R8C",'Mapa final'!$O$57),"")</f>
        <v/>
      </c>
      <c r="AN43" s="97"/>
      <c r="AO43" s="365"/>
      <c r="AP43" s="366"/>
      <c r="AQ43" s="366"/>
      <c r="AR43" s="366"/>
      <c r="AS43" s="366"/>
      <c r="AT43" s="36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x14ac:dyDescent="0.25">
      <c r="A44" s="97"/>
      <c r="B44" s="246"/>
      <c r="C44" s="246"/>
      <c r="D44" s="247"/>
      <c r="E44" s="345"/>
      <c r="F44" s="344"/>
      <c r="G44" s="344"/>
      <c r="H44" s="344"/>
      <c r="I44" s="344"/>
      <c r="J44" s="90" t="str">
        <f>IF(AND('Mapa final'!$Y$58="Baja",'Mapa final'!$AA$58="Leve"),CONCATENATE("R9C",'Mapa final'!$O$58),"")</f>
        <v/>
      </c>
      <c r="K44" s="91" t="str">
        <f>IF(AND('Mapa final'!$Y$59="Baja",'Mapa final'!$AA$59="Leve"),CONCATENATE("R9C",'Mapa final'!$O$59),"")</f>
        <v/>
      </c>
      <c r="L44" s="91" t="str">
        <f>IF(AND('Mapa final'!$Y$60="Baja",'Mapa final'!$AA$60="Leve"),CONCATENATE("R9C",'Mapa final'!$O$60),"")</f>
        <v/>
      </c>
      <c r="M44" s="91" t="str">
        <f>IF(AND('Mapa final'!$Y$61="Baja",'Mapa final'!$AA$61="Leve"),CONCATENATE("R9C",'Mapa final'!$O$61),"")</f>
        <v/>
      </c>
      <c r="N44" s="91" t="str">
        <f>IF(AND('Mapa final'!$Y$62="Baja",'Mapa final'!$AA$62="Leve"),CONCATENATE("R9C",'Mapa final'!$O$62),"")</f>
        <v/>
      </c>
      <c r="O44" s="92" t="str">
        <f>IF(AND('Mapa final'!$Y$63="Baja",'Mapa final'!$AA$63="Leve"),CONCATENATE("R9C",'Mapa final'!$O$63),"")</f>
        <v/>
      </c>
      <c r="P44" s="81" t="str">
        <f>IF(AND('Mapa final'!$Y$58="Baja",'Mapa final'!$AA$58="Menor"),CONCATENATE("R9C",'Mapa final'!$O$58),"")</f>
        <v/>
      </c>
      <c r="Q44" s="82" t="str">
        <f>IF(AND('Mapa final'!$Y$59="Baja",'Mapa final'!$AA$59="Menor"),CONCATENATE("R9C",'Mapa final'!$O$59),"")</f>
        <v/>
      </c>
      <c r="R44" s="82" t="str">
        <f>IF(AND('Mapa final'!$Y$60="Baja",'Mapa final'!$AA$60="Menor"),CONCATENATE("R9C",'Mapa final'!$O$60),"")</f>
        <v/>
      </c>
      <c r="S44" s="82" t="str">
        <f>IF(AND('Mapa final'!$Y$61="Baja",'Mapa final'!$AA$61="Menor"),CONCATENATE("R9C",'Mapa final'!$O$61),"")</f>
        <v/>
      </c>
      <c r="T44" s="82" t="str">
        <f>IF(AND('Mapa final'!$Y$62="Baja",'Mapa final'!$AA$62="Menor"),CONCATENATE("R9C",'Mapa final'!$O$62),"")</f>
        <v/>
      </c>
      <c r="U44" s="83" t="str">
        <f>IF(AND('Mapa final'!$Y$63="Baja",'Mapa final'!$AA$63="Menor"),CONCATENATE("R9C",'Mapa final'!$O$63),"")</f>
        <v/>
      </c>
      <c r="V44" s="81" t="str">
        <f>IF(AND('Mapa final'!$Y$58="Baja",'Mapa final'!$AA$58="Moderado"),CONCATENATE("R9C",'Mapa final'!$O$58),"")</f>
        <v/>
      </c>
      <c r="W44" s="82" t="str">
        <f>IF(AND('Mapa final'!$Y$59="Baja",'Mapa final'!$AA$59="Moderado"),CONCATENATE("R9C",'Mapa final'!$O$59),"")</f>
        <v/>
      </c>
      <c r="X44" s="82" t="str">
        <f>IF(AND('Mapa final'!$Y$60="Baja",'Mapa final'!$AA$60="Moderado"),CONCATENATE("R9C",'Mapa final'!$O$60),"")</f>
        <v/>
      </c>
      <c r="Y44" s="82" t="str">
        <f>IF(AND('Mapa final'!$Y$61="Baja",'Mapa final'!$AA$61="Moderado"),CONCATENATE("R9C",'Mapa final'!$O$61),"")</f>
        <v/>
      </c>
      <c r="Z44" s="82" t="str">
        <f>IF(AND('Mapa final'!$Y$62="Baja",'Mapa final'!$AA$62="Moderado"),CONCATENATE("R9C",'Mapa final'!$O$62),"")</f>
        <v/>
      </c>
      <c r="AA44" s="83" t="str">
        <f>IF(AND('Mapa final'!$Y$63="Baja",'Mapa final'!$AA$63="Moderado"),CONCATENATE("R9C",'Mapa final'!$O$63),"")</f>
        <v/>
      </c>
      <c r="AB44" s="66" t="str">
        <f>IF(AND('Mapa final'!$Y$58="Baja",'Mapa final'!$AA$58="Mayor"),CONCATENATE("R9C",'Mapa final'!$O$58),"")</f>
        <v/>
      </c>
      <c r="AC44" s="67" t="str">
        <f>IF(AND('Mapa final'!$Y$59="Baja",'Mapa final'!$AA$59="Mayor"),CONCATENATE("R9C",'Mapa final'!$O$59),"")</f>
        <v/>
      </c>
      <c r="AD44" s="67" t="str">
        <f>IF(AND('Mapa final'!$Y$60="Baja",'Mapa final'!$AA$60="Mayor"),CONCATENATE("R9C",'Mapa final'!$O$60),"")</f>
        <v/>
      </c>
      <c r="AE44" s="67" t="str">
        <f>IF(AND('Mapa final'!$Y$61="Baja",'Mapa final'!$AA$61="Mayor"),CONCATENATE("R9C",'Mapa final'!$O$61),"")</f>
        <v/>
      </c>
      <c r="AF44" s="67" t="str">
        <f>IF(AND('Mapa final'!$Y$62="Baja",'Mapa final'!$AA$62="Mayor"),CONCATENATE("R9C",'Mapa final'!$O$62),"")</f>
        <v/>
      </c>
      <c r="AG44" s="68" t="str">
        <f>IF(AND('Mapa final'!$Y$63="Baja",'Mapa final'!$AA$63="Mayor"),CONCATENATE("R9C",'Mapa final'!$O$63),"")</f>
        <v/>
      </c>
      <c r="AH44" s="69" t="str">
        <f>IF(AND('Mapa final'!$Y$58="Baja",'Mapa final'!$AA$58="Catastrófico"),CONCATENATE("R9C",'Mapa final'!$O$58),"")</f>
        <v/>
      </c>
      <c r="AI44" s="70" t="str">
        <f>IF(AND('Mapa final'!$Y$59="Baja",'Mapa final'!$AA$59="Catastrófico"),CONCATENATE("R9C",'Mapa final'!$O$59),"")</f>
        <v/>
      </c>
      <c r="AJ44" s="70" t="str">
        <f>IF(AND('Mapa final'!$Y$60="Baja",'Mapa final'!$AA$60="Catastrófico"),CONCATENATE("R9C",'Mapa final'!$O$60),"")</f>
        <v/>
      </c>
      <c r="AK44" s="70" t="str">
        <f>IF(AND('Mapa final'!$Y$61="Baja",'Mapa final'!$AA$61="Catastrófico"),CONCATENATE("R9C",'Mapa final'!$O$61),"")</f>
        <v/>
      </c>
      <c r="AL44" s="70" t="str">
        <f>IF(AND('Mapa final'!$Y$62="Baja",'Mapa final'!$AA$62="Catastrófico"),CONCATENATE("R9C",'Mapa final'!$O$62),"")</f>
        <v/>
      </c>
      <c r="AM44" s="71" t="str">
        <f>IF(AND('Mapa final'!$Y$63="Baja",'Mapa final'!$AA$63="Catastrófico"),CONCATENATE("R9C",'Mapa final'!$O$63),"")</f>
        <v/>
      </c>
      <c r="AN44" s="97"/>
      <c r="AO44" s="365"/>
      <c r="AP44" s="366"/>
      <c r="AQ44" s="366"/>
      <c r="AR44" s="366"/>
      <c r="AS44" s="366"/>
      <c r="AT44" s="36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x14ac:dyDescent="0.3">
      <c r="A45" s="97"/>
      <c r="B45" s="246"/>
      <c r="C45" s="246"/>
      <c r="D45" s="247"/>
      <c r="E45" s="346"/>
      <c r="F45" s="347"/>
      <c r="G45" s="347"/>
      <c r="H45" s="347"/>
      <c r="I45" s="347"/>
      <c r="J45" s="93" t="str">
        <f>IF(AND('Mapa final'!$Y$64="Baja",'Mapa final'!$AA$64="Leve"),CONCATENATE("R10C",'Mapa final'!$O$64),"")</f>
        <v/>
      </c>
      <c r="K45" s="94" t="str">
        <f>IF(AND('Mapa final'!$Y$65="Baja",'Mapa final'!$AA$65="Leve"),CONCATENATE("R10C",'Mapa final'!$O$65),"")</f>
        <v/>
      </c>
      <c r="L45" s="94" t="str">
        <f>IF(AND('Mapa final'!$Y$66="Baja",'Mapa final'!$AA$66="Leve"),CONCATENATE("R10C",'Mapa final'!$O$66),"")</f>
        <v/>
      </c>
      <c r="M45" s="94" t="str">
        <f>IF(AND('Mapa final'!$Y$67="Baja",'Mapa final'!$AA$67="Leve"),CONCATENATE("R10C",'Mapa final'!$O$67),"")</f>
        <v/>
      </c>
      <c r="N45" s="94" t="str">
        <f>IF(AND('Mapa final'!$Y$68="Baja",'Mapa final'!$AA$68="Leve"),CONCATENATE("R10C",'Mapa final'!$O$68),"")</f>
        <v/>
      </c>
      <c r="O45" s="95" t="str">
        <f>IF(AND('Mapa final'!$Y$69="Baja",'Mapa final'!$AA$69="Leve"),CONCATENATE("R10C",'Mapa final'!$O$69),"")</f>
        <v/>
      </c>
      <c r="P45" s="81" t="str">
        <f>IF(AND('Mapa final'!$Y$64="Baja",'Mapa final'!$AA$64="Menor"),CONCATENATE("R10C",'Mapa final'!$O$64),"")</f>
        <v/>
      </c>
      <c r="Q45" s="82" t="str">
        <f>IF(AND('Mapa final'!$Y$65="Baja",'Mapa final'!$AA$65="Menor"),CONCATENATE("R10C",'Mapa final'!$O$65),"")</f>
        <v/>
      </c>
      <c r="R45" s="82" t="str">
        <f>IF(AND('Mapa final'!$Y$66="Baja",'Mapa final'!$AA$66="Menor"),CONCATENATE("R10C",'Mapa final'!$O$66),"")</f>
        <v/>
      </c>
      <c r="S45" s="82" t="str">
        <f>IF(AND('Mapa final'!$Y$67="Baja",'Mapa final'!$AA$67="Menor"),CONCATENATE("R10C",'Mapa final'!$O$67),"")</f>
        <v/>
      </c>
      <c r="T45" s="82" t="str">
        <f>IF(AND('Mapa final'!$Y$68="Baja",'Mapa final'!$AA$68="Menor"),CONCATENATE("R10C",'Mapa final'!$O$68),"")</f>
        <v/>
      </c>
      <c r="U45" s="83" t="str">
        <f>IF(AND('Mapa final'!$Y$69="Baja",'Mapa final'!$AA$69="Menor"),CONCATENATE("R10C",'Mapa final'!$O$69),"")</f>
        <v/>
      </c>
      <c r="V45" s="84" t="str">
        <f>IF(AND('Mapa final'!$Y$64="Baja",'Mapa final'!$AA$64="Moderado"),CONCATENATE("R10C",'Mapa final'!$O$64),"")</f>
        <v/>
      </c>
      <c r="W45" s="85" t="str">
        <f>IF(AND('Mapa final'!$Y$65="Baja",'Mapa final'!$AA$65="Moderado"),CONCATENATE("R10C",'Mapa final'!$O$65),"")</f>
        <v/>
      </c>
      <c r="X45" s="85" t="str">
        <f>IF(AND('Mapa final'!$Y$66="Baja",'Mapa final'!$AA$66="Moderado"),CONCATENATE("R10C",'Mapa final'!$O$66),"")</f>
        <v/>
      </c>
      <c r="Y45" s="85" t="str">
        <f>IF(AND('Mapa final'!$Y$67="Baja",'Mapa final'!$AA$67="Moderado"),CONCATENATE("R10C",'Mapa final'!$O$67),"")</f>
        <v/>
      </c>
      <c r="Z45" s="85" t="str">
        <f>IF(AND('Mapa final'!$Y$68="Baja",'Mapa final'!$AA$68="Moderado"),CONCATENATE("R10C",'Mapa final'!$O$68),"")</f>
        <v/>
      </c>
      <c r="AA45" s="86" t="str">
        <f>IF(AND('Mapa final'!$Y$69="Baja",'Mapa final'!$AA$69="Moderado"),CONCATENATE("R10C",'Mapa final'!$O$69),"")</f>
        <v/>
      </c>
      <c r="AB45" s="72" t="str">
        <f>IF(AND('Mapa final'!$Y$64="Baja",'Mapa final'!$AA$64="Mayor"),CONCATENATE("R10C",'Mapa final'!$O$64),"")</f>
        <v/>
      </c>
      <c r="AC45" s="73" t="str">
        <f>IF(AND('Mapa final'!$Y$65="Baja",'Mapa final'!$AA$65="Mayor"),CONCATENATE("R10C",'Mapa final'!$O$65),"")</f>
        <v/>
      </c>
      <c r="AD45" s="73" t="str">
        <f>IF(AND('Mapa final'!$Y$66="Baja",'Mapa final'!$AA$66="Mayor"),CONCATENATE("R10C",'Mapa final'!$O$66),"")</f>
        <v/>
      </c>
      <c r="AE45" s="73" t="str">
        <f>IF(AND('Mapa final'!$Y$67="Baja",'Mapa final'!$AA$67="Mayor"),CONCATENATE("R10C",'Mapa final'!$O$67),"")</f>
        <v/>
      </c>
      <c r="AF45" s="73" t="str">
        <f>IF(AND('Mapa final'!$Y$68="Baja",'Mapa final'!$AA$68="Mayor"),CONCATENATE("R10C",'Mapa final'!$O$68),"")</f>
        <v/>
      </c>
      <c r="AG45" s="74" t="str">
        <f>IF(AND('Mapa final'!$Y$69="Baja",'Mapa final'!$AA$69="Mayor"),CONCATENATE("R10C",'Mapa final'!$O$69),"")</f>
        <v/>
      </c>
      <c r="AH45" s="75" t="str">
        <f>IF(AND('Mapa final'!$Y$64="Baja",'Mapa final'!$AA$64="Catastrófico"),CONCATENATE("R10C",'Mapa final'!$O$64),"")</f>
        <v/>
      </c>
      <c r="AI45" s="76" t="str">
        <f>IF(AND('Mapa final'!$Y$65="Baja",'Mapa final'!$AA$65="Catastrófico"),CONCATENATE("R10C",'Mapa final'!$O$65),"")</f>
        <v/>
      </c>
      <c r="AJ45" s="76" t="str">
        <f>IF(AND('Mapa final'!$Y$66="Baja",'Mapa final'!$AA$66="Catastrófico"),CONCATENATE("R10C",'Mapa final'!$O$66),"")</f>
        <v/>
      </c>
      <c r="AK45" s="76" t="str">
        <f>IF(AND('Mapa final'!$Y$67="Baja",'Mapa final'!$AA$67="Catastrófico"),CONCATENATE("R10C",'Mapa final'!$O$67),"")</f>
        <v/>
      </c>
      <c r="AL45" s="76" t="str">
        <f>IF(AND('Mapa final'!$Y$68="Baja",'Mapa final'!$AA$68="Catastrófico"),CONCATENATE("R10C",'Mapa final'!$O$68),"")</f>
        <v/>
      </c>
      <c r="AM45" s="77" t="str">
        <f>IF(AND('Mapa final'!$Y$69="Baja",'Mapa final'!$AA$69="Catastrófico"),CONCATENATE("R10C",'Mapa final'!$O$69),"")</f>
        <v/>
      </c>
      <c r="AN45" s="97"/>
      <c r="AO45" s="368"/>
      <c r="AP45" s="369"/>
      <c r="AQ45" s="369"/>
      <c r="AR45" s="369"/>
      <c r="AS45" s="369"/>
      <c r="AT45" s="370"/>
    </row>
    <row r="46" spans="1:80" ht="46.5" customHeight="1" x14ac:dyDescent="0.35">
      <c r="A46" s="97"/>
      <c r="B46" s="246"/>
      <c r="C46" s="246"/>
      <c r="D46" s="247"/>
      <c r="E46" s="341" t="s">
        <v>113</v>
      </c>
      <c r="F46" s="342"/>
      <c r="G46" s="342"/>
      <c r="H46" s="342"/>
      <c r="I46" s="359"/>
      <c r="J46" s="87" t="str">
        <f>IF(AND('Mapa final'!$Y$10="Muy Baja",'Mapa final'!$AA$10="Leve"),CONCATENATE("R1C",'Mapa final'!$O$10),"")</f>
        <v/>
      </c>
      <c r="K46" s="88" t="str">
        <f>IF(AND('Mapa final'!$Y$11="Muy Baja",'Mapa final'!$AA$11="Leve"),CONCATENATE("R1C",'Mapa final'!$O$11),"")</f>
        <v/>
      </c>
      <c r="L46" s="88" t="str">
        <f>IF(AND('Mapa final'!$Y$12="Muy Baja",'Mapa final'!$AA$12="Leve"),CONCATENATE("R1C",'Mapa final'!$O$12),"")</f>
        <v/>
      </c>
      <c r="M46" s="88" t="str">
        <f>IF(AND('Mapa final'!$Y$13="Muy Baja",'Mapa final'!$AA$13="Leve"),CONCATENATE("R1C",'Mapa final'!$O$13),"")</f>
        <v/>
      </c>
      <c r="N46" s="88" t="str">
        <f>IF(AND('Mapa final'!$Y$14="Muy Baja",'Mapa final'!$AA$14="Leve"),CONCATENATE("R1C",'Mapa final'!$O$14),"")</f>
        <v/>
      </c>
      <c r="O46" s="89" t="str">
        <f>IF(AND('Mapa final'!$Y$15="Muy Baja",'Mapa final'!$AA$15="Leve"),CONCATENATE("R1C",'Mapa final'!$O$15),"")</f>
        <v/>
      </c>
      <c r="P46" s="87" t="str">
        <f>IF(AND('Mapa final'!$Y$10="Muy Baja",'Mapa final'!$AA$10="Menor"),CONCATENATE("R1C",'Mapa final'!$O$10),"")</f>
        <v/>
      </c>
      <c r="Q46" s="88" t="str">
        <f>IF(AND('Mapa final'!$Y$11="Muy Baja",'Mapa final'!$AA$11="Menor"),CONCATENATE("R1C",'Mapa final'!$O$11),"")</f>
        <v>R1C2</v>
      </c>
      <c r="R46" s="88" t="str">
        <f>IF(AND('Mapa final'!$Y$12="Muy Baja",'Mapa final'!$AA$12="Menor"),CONCATENATE("R1C",'Mapa final'!$O$12),"")</f>
        <v>R1C3</v>
      </c>
      <c r="S46" s="88" t="str">
        <f>IF(AND('Mapa final'!$Y$13="Muy Baja",'Mapa final'!$AA$13="Menor"),CONCATENATE("R1C",'Mapa final'!$O$13),"")</f>
        <v>R1C4</v>
      </c>
      <c r="T46" s="88" t="str">
        <f>IF(AND('Mapa final'!$Y$14="Muy Baja",'Mapa final'!$AA$14="Menor"),CONCATENATE("R1C",'Mapa final'!$O$14),"")</f>
        <v>R1C5</v>
      </c>
      <c r="U46" s="89" t="str">
        <f>IF(AND('Mapa final'!$Y$15="Muy Baja",'Mapa final'!$AA$15="Menor"),CONCATENATE("R1C",'Mapa final'!$O$15),"")</f>
        <v/>
      </c>
      <c r="V46" s="78" t="str">
        <f>IF(AND('Mapa final'!$Y$10="Muy Baja",'Mapa final'!$AA$10="Moderado"),CONCATENATE("R1C",'Mapa final'!$O$10),"")</f>
        <v/>
      </c>
      <c r="W46" s="96" t="str">
        <f>IF(AND('Mapa final'!$Y$11="Muy Baja",'Mapa final'!$AA$11="Moderado"),CONCATENATE("R1C",'Mapa final'!$O$11),"")</f>
        <v/>
      </c>
      <c r="X46" s="79" t="str">
        <f>IF(AND('Mapa final'!$Y$12="Muy Baja",'Mapa final'!$AA$12="Moderado"),CONCATENATE("R1C",'Mapa final'!$O$12),"")</f>
        <v/>
      </c>
      <c r="Y46" s="79" t="str">
        <f>IF(AND('Mapa final'!$Y$13="Muy Baja",'Mapa final'!$AA$13="Moderado"),CONCATENATE("R1C",'Mapa final'!$O$13),"")</f>
        <v/>
      </c>
      <c r="Z46" s="79" t="str">
        <f>IF(AND('Mapa final'!$Y$14="Muy Baja",'Mapa final'!$AA$14="Moderado"),CONCATENATE("R1C",'Mapa final'!$O$14),"")</f>
        <v/>
      </c>
      <c r="AA46" s="80" t="str">
        <f>IF(AND('Mapa final'!$Y$15="Muy Baja",'Mapa final'!$AA$15="Moderado"),CONCATENATE("R1C",'Mapa final'!$O$15),"")</f>
        <v/>
      </c>
      <c r="AB46" s="60" t="str">
        <f>IF(AND('Mapa final'!$Y$10="Muy Baja",'Mapa final'!$AA$10="Mayor"),CONCATENATE("R1C",'Mapa final'!$O$10),"")</f>
        <v/>
      </c>
      <c r="AC46" s="61" t="str">
        <f>IF(AND('Mapa final'!$Y$11="Muy Baja",'Mapa final'!$AA$11="Mayor"),CONCATENATE("R1C",'Mapa final'!$O$11),"")</f>
        <v/>
      </c>
      <c r="AD46" s="61" t="str">
        <f>IF(AND('Mapa final'!$Y$12="Muy Baja",'Mapa final'!$AA$12="Mayor"),CONCATENATE("R1C",'Mapa final'!$O$12),"")</f>
        <v/>
      </c>
      <c r="AE46" s="61" t="str">
        <f>IF(AND('Mapa final'!$Y$13="Muy Baja",'Mapa final'!$AA$13="Mayor"),CONCATENATE("R1C",'Mapa final'!$O$13),"")</f>
        <v/>
      </c>
      <c r="AF46" s="61" t="str">
        <f>IF(AND('Mapa final'!$Y$14="Muy Baja",'Mapa final'!$AA$14="Mayor"),CONCATENATE("R1C",'Mapa final'!$O$14),"")</f>
        <v/>
      </c>
      <c r="AG46" s="62" t="str">
        <f>IF(AND('Mapa final'!$Y$15="Muy Baja",'Mapa final'!$AA$15="Mayor"),CONCATENATE("R1C",'Mapa final'!$O$15),"")</f>
        <v/>
      </c>
      <c r="AH46" s="63" t="str">
        <f>IF(AND('Mapa final'!$Y$10="Muy Baja",'Mapa final'!$AA$10="Catastrófico"),CONCATENATE("R1C",'Mapa final'!$O$10),"")</f>
        <v/>
      </c>
      <c r="AI46" s="64" t="str">
        <f>IF(AND('Mapa final'!$Y$11="Muy Baja",'Mapa final'!$AA$11="Catastrófico"),CONCATENATE("R1C",'Mapa final'!$O$11),"")</f>
        <v/>
      </c>
      <c r="AJ46" s="64" t="str">
        <f>IF(AND('Mapa final'!$Y$12="Muy Baja",'Mapa final'!$AA$12="Catastrófico"),CONCATENATE("R1C",'Mapa final'!$O$12),"")</f>
        <v/>
      </c>
      <c r="AK46" s="64" t="str">
        <f>IF(AND('Mapa final'!$Y$13="Muy Baja",'Mapa final'!$AA$13="Catastrófico"),CONCATENATE("R1C",'Mapa final'!$O$13),"")</f>
        <v/>
      </c>
      <c r="AL46" s="64" t="str">
        <f>IF(AND('Mapa final'!$Y$14="Muy Baja",'Mapa final'!$AA$14="Catastrófico"),CONCATENATE("R1C",'Mapa final'!$O$14),"")</f>
        <v/>
      </c>
      <c r="AM46" s="65" t="str">
        <f>IF(AND('Mapa final'!$Y$15="Muy Baja",'Mapa final'!$AA$15="Catastrófico"),CONCATENATE("R1C",'Mapa final'!$O$15),"")</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x14ac:dyDescent="0.25">
      <c r="A47" s="97"/>
      <c r="B47" s="246"/>
      <c r="C47" s="246"/>
      <c r="D47" s="247"/>
      <c r="E47" s="343"/>
      <c r="F47" s="344"/>
      <c r="G47" s="344"/>
      <c r="H47" s="344"/>
      <c r="I47" s="360"/>
      <c r="J47" s="90" t="str">
        <f>IF(AND('Mapa final'!$Y$16="Muy Baja",'Mapa final'!$AA$16="Leve"),CONCATENATE("R2C",'Mapa final'!$O$16),"")</f>
        <v/>
      </c>
      <c r="K47" s="91" t="str">
        <f>IF(AND('Mapa final'!$Y$17="Muy Baja",'Mapa final'!$AA$17="Leve"),CONCATENATE("R2C",'Mapa final'!$O$17),"")</f>
        <v/>
      </c>
      <c r="L47" s="91" t="str">
        <f>IF(AND('Mapa final'!$Y$18="Muy Baja",'Mapa final'!$AA$18="Leve"),CONCATENATE("R2C",'Mapa final'!$O$18),"")</f>
        <v/>
      </c>
      <c r="M47" s="91" t="str">
        <f>IF(AND('Mapa final'!$Y$19="Muy Baja",'Mapa final'!$AA$19="Leve"),CONCATENATE("R2C",'Mapa final'!$O$19),"")</f>
        <v/>
      </c>
      <c r="N47" s="91" t="str">
        <f>IF(AND('Mapa final'!$Y$20="Muy Baja",'Mapa final'!$AA$20="Leve"),CONCATENATE("R2C",'Mapa final'!$O$20),"")</f>
        <v/>
      </c>
      <c r="O47" s="92" t="str">
        <f>IF(AND('Mapa final'!$Y$21="Muy Baja",'Mapa final'!$AA$21="Leve"),CONCATENATE("R2C",'Mapa final'!$O$21),"")</f>
        <v/>
      </c>
      <c r="P47" s="90" t="str">
        <f>IF(AND('Mapa final'!$Y$16="Muy Baja",'Mapa final'!$AA$16="Menor"),CONCATENATE("R2C",'Mapa final'!$O$16),"")</f>
        <v/>
      </c>
      <c r="Q47" s="91" t="str">
        <f>IF(AND('Mapa final'!$Y$17="Muy Baja",'Mapa final'!$AA$17="Menor"),CONCATENATE("R2C",'Mapa final'!$O$17),"")</f>
        <v>R2C2</v>
      </c>
      <c r="R47" s="91" t="str">
        <f>IF(AND('Mapa final'!$Y$18="Muy Baja",'Mapa final'!$AA$18="Menor"),CONCATENATE("R2C",'Mapa final'!$O$18),"")</f>
        <v>R2C3</v>
      </c>
      <c r="S47" s="91" t="str">
        <f>IF(AND('Mapa final'!$Y$19="Muy Baja",'Mapa final'!$AA$19="Menor"),CONCATENATE("R2C",'Mapa final'!$O$19),"")</f>
        <v>R2C4</v>
      </c>
      <c r="T47" s="91" t="str">
        <f>IF(AND('Mapa final'!$Y$20="Muy Baja",'Mapa final'!$AA$20="Menor"),CONCATENATE("R2C",'Mapa final'!$O$20),"")</f>
        <v>R2C5</v>
      </c>
      <c r="U47" s="92" t="str">
        <f>IF(AND('Mapa final'!$Y$21="Muy Baja",'Mapa final'!$AA$21="Menor"),CONCATENATE("R2C",'Mapa final'!$O$21),"")</f>
        <v/>
      </c>
      <c r="V47" s="81" t="str">
        <f>IF(AND('Mapa final'!$Y$16="Muy Baja",'Mapa final'!$AA$16="Moderado"),CONCATENATE("R2C",'Mapa final'!$O$16),"")</f>
        <v/>
      </c>
      <c r="W47" s="82" t="str">
        <f>IF(AND('Mapa final'!$Y$17="Muy Baja",'Mapa final'!$AA$17="Moderado"),CONCATENATE("R2C",'Mapa final'!$O$17),"")</f>
        <v/>
      </c>
      <c r="X47" s="82" t="str">
        <f>IF(AND('Mapa final'!$Y$18="Muy Baja",'Mapa final'!$AA$18="Moderado"),CONCATENATE("R2C",'Mapa final'!$O$18),"")</f>
        <v/>
      </c>
      <c r="Y47" s="82" t="str">
        <f>IF(AND('Mapa final'!$Y$19="Muy Baja",'Mapa final'!$AA$19="Moderado"),CONCATENATE("R2C",'Mapa final'!$O$19),"")</f>
        <v/>
      </c>
      <c r="Z47" s="82" t="str">
        <f>IF(AND('Mapa final'!$Y$20="Muy Baja",'Mapa final'!$AA$20="Moderado"),CONCATENATE("R2C",'Mapa final'!$O$20),"")</f>
        <v/>
      </c>
      <c r="AA47" s="83" t="str">
        <f>IF(AND('Mapa final'!$Y$21="Muy Baja",'Mapa final'!$AA$21="Moderado"),CONCATENATE("R2C",'Mapa final'!$O$21),"")</f>
        <v/>
      </c>
      <c r="AB47" s="66" t="str">
        <f>IF(AND('Mapa final'!$Y$16="Muy Baja",'Mapa final'!$AA$16="Mayor"),CONCATENATE("R2C",'Mapa final'!$O$16),"")</f>
        <v/>
      </c>
      <c r="AC47" s="67" t="str">
        <f>IF(AND('Mapa final'!$Y$17="Muy Baja",'Mapa final'!$AA$17="Mayor"),CONCATENATE("R2C",'Mapa final'!$O$17),"")</f>
        <v/>
      </c>
      <c r="AD47" s="67" t="str">
        <f>IF(AND('Mapa final'!$Y$18="Muy Baja",'Mapa final'!$AA$18="Mayor"),CONCATENATE("R2C",'Mapa final'!$O$18),"")</f>
        <v/>
      </c>
      <c r="AE47" s="67" t="str">
        <f>IF(AND('Mapa final'!$Y$19="Muy Baja",'Mapa final'!$AA$19="Mayor"),CONCATENATE("R2C",'Mapa final'!$O$19),"")</f>
        <v/>
      </c>
      <c r="AF47" s="67" t="str">
        <f>IF(AND('Mapa final'!$Y$20="Muy Baja",'Mapa final'!$AA$20="Mayor"),CONCATENATE("R2C",'Mapa final'!$O$20),"")</f>
        <v/>
      </c>
      <c r="AG47" s="68" t="str">
        <f>IF(AND('Mapa final'!$Y$21="Muy Baja",'Mapa final'!$AA$21="Mayor"),CONCATENATE("R2C",'Mapa final'!$O$21),"")</f>
        <v/>
      </c>
      <c r="AH47" s="69" t="str">
        <f>IF(AND('Mapa final'!$Y$16="Muy Baja",'Mapa final'!$AA$16="Catastrófico"),CONCATENATE("R2C",'Mapa final'!$O$16),"")</f>
        <v/>
      </c>
      <c r="AI47" s="70" t="str">
        <f>IF(AND('Mapa final'!$Y$17="Muy Baja",'Mapa final'!$AA$17="Catastrófico"),CONCATENATE("R2C",'Mapa final'!$O$17),"")</f>
        <v/>
      </c>
      <c r="AJ47" s="70" t="str">
        <f>IF(AND('Mapa final'!$Y$18="Muy Baja",'Mapa final'!$AA$18="Catastrófico"),CONCATENATE("R2C",'Mapa final'!$O$18),"")</f>
        <v/>
      </c>
      <c r="AK47" s="70" t="str">
        <f>IF(AND('Mapa final'!$Y$19="Muy Baja",'Mapa final'!$AA$19="Catastrófico"),CONCATENATE("R2C",'Mapa final'!$O$19),"")</f>
        <v/>
      </c>
      <c r="AL47" s="70" t="str">
        <f>IF(AND('Mapa final'!$Y$20="Muy Baja",'Mapa final'!$AA$20="Catastrófico"),CONCATENATE("R2C",'Mapa final'!$O$20),"")</f>
        <v/>
      </c>
      <c r="AM47" s="71" t="str">
        <f>IF(AND('Mapa final'!$Y$21="Muy Baja",'Mapa final'!$AA$21="Catastrófico"),CONCATENATE("R2C",'Mapa final'!$O$21),"")</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x14ac:dyDescent="0.25">
      <c r="A48" s="97"/>
      <c r="B48" s="246"/>
      <c r="C48" s="246"/>
      <c r="D48" s="247"/>
      <c r="E48" s="343"/>
      <c r="F48" s="344"/>
      <c r="G48" s="344"/>
      <c r="H48" s="344"/>
      <c r="I48" s="360"/>
      <c r="J48" s="90" t="str">
        <f>IF(AND('Mapa final'!$Y$22="Muy Baja",'Mapa final'!$AA$22="Leve"),CONCATENATE("R3C",'Mapa final'!$O$22),"")</f>
        <v/>
      </c>
      <c r="K48" s="91" t="str">
        <f>IF(AND('Mapa final'!$Y$23="Muy Baja",'Mapa final'!$AA$23="Leve"),CONCATENATE("R3C",'Mapa final'!$O$23),"")</f>
        <v/>
      </c>
      <c r="L48" s="91" t="str">
        <f>IF(AND('Mapa final'!$Y$24="Muy Baja",'Mapa final'!$AA$24="Leve"),CONCATENATE("R3C",'Mapa final'!$O$24),"")</f>
        <v/>
      </c>
      <c r="M48" s="91" t="str">
        <f>IF(AND('Mapa final'!$Y$25="Muy Baja",'Mapa final'!$AA$25="Leve"),CONCATENATE("R3C",'Mapa final'!$O$25),"")</f>
        <v/>
      </c>
      <c r="N48" s="91" t="str">
        <f>IF(AND('Mapa final'!$Y$26="Muy Baja",'Mapa final'!$AA$26="Leve"),CONCATENATE("R3C",'Mapa final'!$O$26),"")</f>
        <v/>
      </c>
      <c r="O48" s="92" t="str">
        <f>IF(AND('Mapa final'!$Y$27="Muy Baja",'Mapa final'!$AA$27="Leve"),CONCATENATE("R3C",'Mapa final'!$O$27),"")</f>
        <v/>
      </c>
      <c r="P48" s="90" t="str">
        <f>IF(AND('Mapa final'!$Y$22="Muy Baja",'Mapa final'!$AA$22="Menor"),CONCATENATE("R3C",'Mapa final'!$O$22),"")</f>
        <v/>
      </c>
      <c r="Q48" s="91" t="str">
        <f>IF(AND('Mapa final'!$Y$23="Muy Baja",'Mapa final'!$AA$23="Menor"),CONCATENATE("R3C",'Mapa final'!$O$23),"")</f>
        <v/>
      </c>
      <c r="R48" s="91" t="str">
        <f>IF(AND('Mapa final'!$Y$24="Muy Baja",'Mapa final'!$AA$24="Menor"),CONCATENATE("R3C",'Mapa final'!$O$24),"")</f>
        <v/>
      </c>
      <c r="S48" s="91" t="str">
        <f>IF(AND('Mapa final'!$Y$25="Muy Baja",'Mapa final'!$AA$25="Menor"),CONCATENATE("R3C",'Mapa final'!$O$25),"")</f>
        <v/>
      </c>
      <c r="T48" s="91" t="str">
        <f>IF(AND('Mapa final'!$Y$26="Muy Baja",'Mapa final'!$AA$26="Menor"),CONCATENATE("R3C",'Mapa final'!$O$26),"")</f>
        <v/>
      </c>
      <c r="U48" s="92" t="str">
        <f>IF(AND('Mapa final'!$Y$27="Muy Baja",'Mapa final'!$AA$27="Menor"),CONCATENATE("R3C",'Mapa final'!$O$27),"")</f>
        <v/>
      </c>
      <c r="V48" s="81" t="str">
        <f>IF(AND('Mapa final'!$Y$22="Muy Baja",'Mapa final'!$AA$22="Moderado"),CONCATENATE("R3C",'Mapa final'!$O$22),"")</f>
        <v/>
      </c>
      <c r="W48" s="82" t="str">
        <f>IF(AND('Mapa final'!$Y$23="Muy Baja",'Mapa final'!$AA$23="Moderado"),CONCATENATE("R3C",'Mapa final'!$O$23),"")</f>
        <v>R3C2</v>
      </c>
      <c r="X48" s="82" t="str">
        <f>IF(AND('Mapa final'!$Y$24="Muy Baja",'Mapa final'!$AA$24="Moderado"),CONCATENATE("R3C",'Mapa final'!$O$24),"")</f>
        <v>R3C3</v>
      </c>
      <c r="Y48" s="82" t="str">
        <f>IF(AND('Mapa final'!$Y$25="Muy Baja",'Mapa final'!$AA$25="Moderado"),CONCATENATE("R3C",'Mapa final'!$O$25),"")</f>
        <v>R3C4</v>
      </c>
      <c r="Z48" s="82" t="str">
        <f>IF(AND('Mapa final'!$Y$26="Muy Baja",'Mapa final'!$AA$26="Moderado"),CONCATENATE("R3C",'Mapa final'!$O$26),"")</f>
        <v>R3C5</v>
      </c>
      <c r="AA48" s="83" t="str">
        <f>IF(AND('Mapa final'!$Y$27="Muy Baja",'Mapa final'!$AA$27="Moderado"),CONCATENATE("R3C",'Mapa final'!$O$27),"")</f>
        <v/>
      </c>
      <c r="AB48" s="66" t="str">
        <f>IF(AND('Mapa final'!$Y$22="Muy Baja",'Mapa final'!$AA$22="Mayor"),CONCATENATE("R3C",'Mapa final'!$O$22),"")</f>
        <v/>
      </c>
      <c r="AC48" s="67" t="str">
        <f>IF(AND('Mapa final'!$Y$23="Muy Baja",'Mapa final'!$AA$23="Mayor"),CONCATENATE("R3C",'Mapa final'!$O$23),"")</f>
        <v/>
      </c>
      <c r="AD48" s="67" t="str">
        <f>IF(AND('Mapa final'!$Y$24="Muy Baja",'Mapa final'!$AA$24="Mayor"),CONCATENATE("R3C",'Mapa final'!$O$24),"")</f>
        <v/>
      </c>
      <c r="AE48" s="67" t="str">
        <f>IF(AND('Mapa final'!$Y$25="Muy Baja",'Mapa final'!$AA$25="Mayor"),CONCATENATE("R3C",'Mapa final'!$O$25),"")</f>
        <v/>
      </c>
      <c r="AF48" s="67" t="str">
        <f>IF(AND('Mapa final'!$Y$26="Muy Baja",'Mapa final'!$AA$26="Mayor"),CONCATENATE("R3C",'Mapa final'!$O$26),"")</f>
        <v/>
      </c>
      <c r="AG48" s="68" t="str">
        <f>IF(AND('Mapa final'!$Y$27="Muy Baja",'Mapa final'!$AA$27="Mayor"),CONCATENATE("R3C",'Mapa final'!$O$27),"")</f>
        <v/>
      </c>
      <c r="AH48" s="69" t="str">
        <f>IF(AND('Mapa final'!$Y$22="Muy Baja",'Mapa final'!$AA$22="Catastrófico"),CONCATENATE("R3C",'Mapa final'!$O$22),"")</f>
        <v/>
      </c>
      <c r="AI48" s="70" t="str">
        <f>IF(AND('Mapa final'!$Y$23="Muy Baja",'Mapa final'!$AA$23="Catastrófico"),CONCATENATE("R3C",'Mapa final'!$O$23),"")</f>
        <v/>
      </c>
      <c r="AJ48" s="70" t="str">
        <f>IF(AND('Mapa final'!$Y$24="Muy Baja",'Mapa final'!$AA$24="Catastrófico"),CONCATENATE("R3C",'Mapa final'!$O$24),"")</f>
        <v/>
      </c>
      <c r="AK48" s="70" t="str">
        <f>IF(AND('Mapa final'!$Y$25="Muy Baja",'Mapa final'!$AA$25="Catastrófico"),CONCATENATE("R3C",'Mapa final'!$O$25),"")</f>
        <v/>
      </c>
      <c r="AL48" s="70" t="str">
        <f>IF(AND('Mapa final'!$Y$26="Muy Baja",'Mapa final'!$AA$26="Catastrófico"),CONCATENATE("R3C",'Mapa final'!$O$26),"")</f>
        <v/>
      </c>
      <c r="AM48" s="71" t="str">
        <f>IF(AND('Mapa final'!$Y$27="Muy Baja",'Mapa final'!$AA$27="Catastrófico"),CONCATENATE("R3C",'Mapa final'!$O$27),"")</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x14ac:dyDescent="0.25">
      <c r="A49" s="97"/>
      <c r="B49" s="246"/>
      <c r="C49" s="246"/>
      <c r="D49" s="247"/>
      <c r="E49" s="345"/>
      <c r="F49" s="344"/>
      <c r="G49" s="344"/>
      <c r="H49" s="344"/>
      <c r="I49" s="360"/>
      <c r="J49" s="90" t="str">
        <f>IF(AND('Mapa final'!$Y$28="Muy Baja",'Mapa final'!$AA$28="Leve"),CONCATENATE("R4C",'Mapa final'!$O$28),"")</f>
        <v/>
      </c>
      <c r="K49" s="91" t="str">
        <f>IF(AND('Mapa final'!$Y$29="Muy Baja",'Mapa final'!$AA$29="Leve"),CONCATENATE("R4C",'Mapa final'!$O$29),"")</f>
        <v>R4C2</v>
      </c>
      <c r="L49" s="91" t="str">
        <f>IF(AND('Mapa final'!$Y$30="Muy Baja",'Mapa final'!$AA$30="Leve"),CONCATENATE("R4C",'Mapa final'!$O$30),"")</f>
        <v>R4C3</v>
      </c>
      <c r="M49" s="91" t="str">
        <f>IF(AND('Mapa final'!$Y$31="Muy Baja",'Mapa final'!$AA$31="Leve"),CONCATENATE("R4C",'Mapa final'!$O$31),"")</f>
        <v>R4C4</v>
      </c>
      <c r="N49" s="91" t="str">
        <f>IF(AND('Mapa final'!$Y$32="Muy Baja",'Mapa final'!$AA$32="Leve"),CONCATENATE("R4C",'Mapa final'!$O$32),"")</f>
        <v>R4C5</v>
      </c>
      <c r="O49" s="92" t="str">
        <f>IF(AND('Mapa final'!$Y$33="Muy Baja",'Mapa final'!$AA$33="Leve"),CONCATENATE("R4C",'Mapa final'!$O$33),"")</f>
        <v/>
      </c>
      <c r="P49" s="90" t="str">
        <f>IF(AND('Mapa final'!$Y$28="Muy Baja",'Mapa final'!$AA$28="Menor"),CONCATENATE("R4C",'Mapa final'!$O$28),"")</f>
        <v/>
      </c>
      <c r="Q49" s="91" t="str">
        <f>IF(AND('Mapa final'!$Y$29="Muy Baja",'Mapa final'!$AA$29="Menor"),CONCATENATE("R4C",'Mapa final'!$O$29),"")</f>
        <v/>
      </c>
      <c r="R49" s="91" t="str">
        <f>IF(AND('Mapa final'!$Y$30="Muy Baja",'Mapa final'!$AA$30="Menor"),CONCATENATE("R4C",'Mapa final'!$O$30),"")</f>
        <v/>
      </c>
      <c r="S49" s="91" t="str">
        <f>IF(AND('Mapa final'!$Y$31="Muy Baja",'Mapa final'!$AA$31="Menor"),CONCATENATE("R4C",'Mapa final'!$O$31),"")</f>
        <v/>
      </c>
      <c r="T49" s="91" t="str">
        <f>IF(AND('Mapa final'!$Y$32="Muy Baja",'Mapa final'!$AA$32="Menor"),CONCATENATE("R4C",'Mapa final'!$O$32),"")</f>
        <v/>
      </c>
      <c r="U49" s="92" t="str">
        <f>IF(AND('Mapa final'!$Y$33="Muy Baja",'Mapa final'!$AA$33="Menor"),CONCATENATE("R4C",'Mapa final'!$O$33),"")</f>
        <v/>
      </c>
      <c r="V49" s="81" t="str">
        <f>IF(AND('Mapa final'!$Y$28="Muy Baja",'Mapa final'!$AA$28="Moderado"),CONCATENATE("R4C",'Mapa final'!$O$28),"")</f>
        <v/>
      </c>
      <c r="W49" s="82" t="str">
        <f>IF(AND('Mapa final'!$Y$29="Muy Baja",'Mapa final'!$AA$29="Moderado"),CONCATENATE("R4C",'Mapa final'!$O$29),"")</f>
        <v/>
      </c>
      <c r="X49" s="82" t="str">
        <f>IF(AND('Mapa final'!$Y$30="Muy Baja",'Mapa final'!$AA$30="Moderado"),CONCATENATE("R4C",'Mapa final'!$O$30),"")</f>
        <v/>
      </c>
      <c r="Y49" s="82" t="str">
        <f>IF(AND('Mapa final'!$Y$31="Muy Baja",'Mapa final'!$AA$31="Moderado"),CONCATENATE("R4C",'Mapa final'!$O$31),"")</f>
        <v/>
      </c>
      <c r="Z49" s="82" t="str">
        <f>IF(AND('Mapa final'!$Y$32="Muy Baja",'Mapa final'!$AA$32="Moderado"),CONCATENATE("R4C",'Mapa final'!$O$32),"")</f>
        <v/>
      </c>
      <c r="AA49" s="83" t="str">
        <f>IF(AND('Mapa final'!$Y$33="Muy Baja",'Mapa final'!$AA$33="Moderado"),CONCATENATE("R4C",'Mapa final'!$O$33),"")</f>
        <v/>
      </c>
      <c r="AB49" s="66" t="str">
        <f>IF(AND('Mapa final'!$Y$28="Muy Baja",'Mapa final'!$AA$28="Mayor"),CONCATENATE("R4C",'Mapa final'!$O$28),"")</f>
        <v/>
      </c>
      <c r="AC49" s="67" t="str">
        <f>IF(AND('Mapa final'!$Y$29="Muy Baja",'Mapa final'!$AA$29="Mayor"),CONCATENATE("R4C",'Mapa final'!$O$29),"")</f>
        <v/>
      </c>
      <c r="AD49" s="67" t="str">
        <f>IF(AND('Mapa final'!$Y$30="Muy Baja",'Mapa final'!$AA$30="Mayor"),CONCATENATE("R4C",'Mapa final'!$O$30),"")</f>
        <v/>
      </c>
      <c r="AE49" s="67" t="str">
        <f>IF(AND('Mapa final'!$Y$31="Muy Baja",'Mapa final'!$AA$31="Mayor"),CONCATENATE("R4C",'Mapa final'!$O$31),"")</f>
        <v/>
      </c>
      <c r="AF49" s="67" t="str">
        <f>IF(AND('Mapa final'!$Y$32="Muy Baja",'Mapa final'!$AA$32="Mayor"),CONCATENATE("R4C",'Mapa final'!$O$32),"")</f>
        <v/>
      </c>
      <c r="AG49" s="68" t="str">
        <f>IF(AND('Mapa final'!$Y$33="Muy Baja",'Mapa final'!$AA$33="Mayor"),CONCATENATE("R4C",'Mapa final'!$O$33),"")</f>
        <v/>
      </c>
      <c r="AH49" s="69" t="str">
        <f>IF(AND('Mapa final'!$Y$28="Muy Baja",'Mapa final'!$AA$28="Catastrófico"),CONCATENATE("R4C",'Mapa final'!$O$28),"")</f>
        <v/>
      </c>
      <c r="AI49" s="70" t="str">
        <f>IF(AND('Mapa final'!$Y$29="Muy Baja",'Mapa final'!$AA$29="Catastrófico"),CONCATENATE("R4C",'Mapa final'!$O$29),"")</f>
        <v/>
      </c>
      <c r="AJ49" s="70" t="str">
        <f>IF(AND('Mapa final'!$Y$30="Muy Baja",'Mapa final'!$AA$30="Catastrófico"),CONCATENATE("R4C",'Mapa final'!$O$30),"")</f>
        <v/>
      </c>
      <c r="AK49" s="70" t="str">
        <f>IF(AND('Mapa final'!$Y$31="Muy Baja",'Mapa final'!$AA$31="Catastrófico"),CONCATENATE("R4C",'Mapa final'!$O$31),"")</f>
        <v/>
      </c>
      <c r="AL49" s="70" t="str">
        <f>IF(AND('Mapa final'!$Y$32="Muy Baja",'Mapa final'!$AA$32="Catastrófico"),CONCATENATE("R4C",'Mapa final'!$O$32),"")</f>
        <v/>
      </c>
      <c r="AM49" s="71" t="str">
        <f>IF(AND('Mapa final'!$Y$33="Muy Baja",'Mapa final'!$AA$33="Catastrófico"),CONCATENATE("R4C",'Mapa final'!$O$33),"")</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x14ac:dyDescent="0.25">
      <c r="A50" s="97"/>
      <c r="B50" s="246"/>
      <c r="C50" s="246"/>
      <c r="D50" s="247"/>
      <c r="E50" s="345"/>
      <c r="F50" s="344"/>
      <c r="G50" s="344"/>
      <c r="H50" s="344"/>
      <c r="I50" s="360"/>
      <c r="J50" s="90" t="str">
        <f>IF(AND('Mapa final'!$Y$34="Muy Baja",'Mapa final'!$AA$34="Leve"),CONCATENATE("R5C",'Mapa final'!$O$34),"")</f>
        <v/>
      </c>
      <c r="K50" s="91" t="str">
        <f>IF(AND('Mapa final'!$Y$35="Muy Baja",'Mapa final'!$AA$35="Leve"),CONCATENATE("R5C",'Mapa final'!$O$35),"")</f>
        <v/>
      </c>
      <c r="L50" s="91" t="str">
        <f>IF(AND('Mapa final'!$Y$36="Muy Baja",'Mapa final'!$AA$36="Leve"),CONCATENATE("R5C",'Mapa final'!$O$36),"")</f>
        <v/>
      </c>
      <c r="M50" s="91" t="str">
        <f>IF(AND('Mapa final'!$Y$37="Muy Baja",'Mapa final'!$AA$37="Leve"),CONCATENATE("R5C",'Mapa final'!$O$37),"")</f>
        <v/>
      </c>
      <c r="N50" s="91" t="str">
        <f>IF(AND('Mapa final'!$Y$38="Muy Baja",'Mapa final'!$AA$38="Leve"),CONCATENATE("R5C",'Mapa final'!$O$38),"")</f>
        <v/>
      </c>
      <c r="O50" s="92" t="str">
        <f>IF(AND('Mapa final'!$Y$39="Muy Baja",'Mapa final'!$AA$39="Leve"),CONCATENATE("R5C",'Mapa final'!$O$39),"")</f>
        <v/>
      </c>
      <c r="P50" s="90" t="str">
        <f>IF(AND('Mapa final'!$Y$34="Muy Baja",'Mapa final'!$AA$34="Menor"),CONCATENATE("R5C",'Mapa final'!$O$34),"")</f>
        <v/>
      </c>
      <c r="Q50" s="91" t="str">
        <f>IF(AND('Mapa final'!$Y$35="Muy Baja",'Mapa final'!$AA$35="Menor"),CONCATENATE("R5C",'Mapa final'!$O$35),"")</f>
        <v>R5C2</v>
      </c>
      <c r="R50" s="91" t="str">
        <f>IF(AND('Mapa final'!$Y$36="Muy Baja",'Mapa final'!$AA$36="Menor"),CONCATENATE("R5C",'Mapa final'!$O$36),"")</f>
        <v>R5C3</v>
      </c>
      <c r="S50" s="91" t="str">
        <f>IF(AND('Mapa final'!$Y$37="Muy Baja",'Mapa final'!$AA$37="Menor"),CONCATENATE("R5C",'Mapa final'!$O$37),"")</f>
        <v/>
      </c>
      <c r="T50" s="91" t="str">
        <f>IF(AND('Mapa final'!$Y$38="Muy Baja",'Mapa final'!$AA$38="Menor"),CONCATENATE("R5C",'Mapa final'!$O$38),"")</f>
        <v/>
      </c>
      <c r="U50" s="92" t="str">
        <f>IF(AND('Mapa final'!$Y$39="Muy Baja",'Mapa final'!$AA$39="Menor"),CONCATENATE("R5C",'Mapa final'!$O$39),"")</f>
        <v/>
      </c>
      <c r="V50" s="81" t="str">
        <f>IF(AND('Mapa final'!$Y$34="Muy Baja",'Mapa final'!$AA$34="Moderado"),CONCATENATE("R5C",'Mapa final'!$O$34),"")</f>
        <v/>
      </c>
      <c r="W50" s="82" t="str">
        <f>IF(AND('Mapa final'!$Y$35="Muy Baja",'Mapa final'!$AA$35="Moderado"),CONCATENATE("R5C",'Mapa final'!$O$35),"")</f>
        <v/>
      </c>
      <c r="X50" s="82" t="str">
        <f>IF(AND('Mapa final'!$Y$36="Muy Baja",'Mapa final'!$AA$36="Moderado"),CONCATENATE("R5C",'Mapa final'!$O$36),"")</f>
        <v/>
      </c>
      <c r="Y50" s="82" t="str">
        <f>IF(AND('Mapa final'!$Y$37="Muy Baja",'Mapa final'!$AA$37="Moderado"),CONCATENATE("R5C",'Mapa final'!$O$37),"")</f>
        <v/>
      </c>
      <c r="Z50" s="82" t="str">
        <f>IF(AND('Mapa final'!$Y$38="Muy Baja",'Mapa final'!$AA$38="Moderado"),CONCATENATE("R5C",'Mapa final'!$O$38),"")</f>
        <v/>
      </c>
      <c r="AA50" s="83" t="str">
        <f>IF(AND('Mapa final'!$Y$39="Muy Baja",'Mapa final'!$AA$39="Moderado"),CONCATENATE("R5C",'Mapa final'!$O$39),"")</f>
        <v/>
      </c>
      <c r="AB50" s="66" t="str">
        <f>IF(AND('Mapa final'!$Y$34="Muy Baja",'Mapa final'!$AA$34="Mayor"),CONCATENATE("R5C",'Mapa final'!$O$34),"")</f>
        <v/>
      </c>
      <c r="AC50" s="67" t="str">
        <f>IF(AND('Mapa final'!$Y$35="Muy Baja",'Mapa final'!$AA$35="Mayor"),CONCATENATE("R5C",'Mapa final'!$O$35),"")</f>
        <v/>
      </c>
      <c r="AD50" s="67" t="str">
        <f>IF(AND('Mapa final'!$Y$36="Muy Baja",'Mapa final'!$AA$36="Mayor"),CONCATENATE("R5C",'Mapa final'!$O$36),"")</f>
        <v/>
      </c>
      <c r="AE50" s="67" t="str">
        <f>IF(AND('Mapa final'!$Y$37="Muy Baja",'Mapa final'!$AA$37="Mayor"),CONCATENATE("R5C",'Mapa final'!$O$37),"")</f>
        <v/>
      </c>
      <c r="AF50" s="67" t="str">
        <f>IF(AND('Mapa final'!$Y$38="Muy Baja",'Mapa final'!$AA$38="Mayor"),CONCATENATE("R5C",'Mapa final'!$O$38),"")</f>
        <v/>
      </c>
      <c r="AG50" s="68" t="str">
        <f>IF(AND('Mapa final'!$Y$39="Muy Baja",'Mapa final'!$AA$39="Mayor"),CONCATENATE("R5C",'Mapa final'!$O$39),"")</f>
        <v/>
      </c>
      <c r="AH50" s="69" t="str">
        <f>IF(AND('Mapa final'!$Y$34="Muy Baja",'Mapa final'!$AA$34="Catastrófico"),CONCATENATE("R5C",'Mapa final'!$O$34),"")</f>
        <v/>
      </c>
      <c r="AI50" s="70" t="str">
        <f>IF(AND('Mapa final'!$Y$35="Muy Baja",'Mapa final'!$AA$35="Catastrófico"),CONCATENATE("R5C",'Mapa final'!$O$35),"")</f>
        <v/>
      </c>
      <c r="AJ50" s="70" t="str">
        <f>IF(AND('Mapa final'!$Y$36="Muy Baja",'Mapa final'!$AA$36="Catastrófico"),CONCATENATE("R5C",'Mapa final'!$O$36),"")</f>
        <v/>
      </c>
      <c r="AK50" s="70" t="str">
        <f>IF(AND('Mapa final'!$Y$37="Muy Baja",'Mapa final'!$AA$37="Catastrófico"),CONCATENATE("R5C",'Mapa final'!$O$37),"")</f>
        <v/>
      </c>
      <c r="AL50" s="70" t="str">
        <f>IF(AND('Mapa final'!$Y$38="Muy Baja",'Mapa final'!$AA$38="Catastrófico"),CONCATENATE("R5C",'Mapa final'!$O$38),"")</f>
        <v/>
      </c>
      <c r="AM50" s="71" t="str">
        <f>IF(AND('Mapa final'!$Y$39="Muy Baja",'Mapa final'!$AA$39="Catastrófico"),CONCATENATE("R5C",'Mapa final'!$O$39),"")</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x14ac:dyDescent="0.25">
      <c r="A51" s="97"/>
      <c r="B51" s="246"/>
      <c r="C51" s="246"/>
      <c r="D51" s="247"/>
      <c r="E51" s="345"/>
      <c r="F51" s="344"/>
      <c r="G51" s="344"/>
      <c r="H51" s="344"/>
      <c r="I51" s="360"/>
      <c r="J51" s="90" t="str">
        <f>IF(AND('Mapa final'!$Y$40="Muy Baja",'Mapa final'!$AA$40="Leve"),CONCATENATE("R6C",'Mapa final'!$O$40),"")</f>
        <v/>
      </c>
      <c r="K51" s="91" t="str">
        <f>IF(AND('Mapa final'!$Y$41="Muy Baja",'Mapa final'!$AA$41="Leve"),CONCATENATE("R6C",'Mapa final'!$O$41),"")</f>
        <v/>
      </c>
      <c r="L51" s="91" t="str">
        <f>IF(AND('Mapa final'!$Y$42="Muy Baja",'Mapa final'!$AA$42="Leve"),CONCATENATE("R6C",'Mapa final'!$O$42),"")</f>
        <v/>
      </c>
      <c r="M51" s="91" t="str">
        <f>IF(AND('Mapa final'!$Y$43="Muy Baja",'Mapa final'!$AA$43="Leve"),CONCATENATE("R6C",'Mapa final'!$O$43),"")</f>
        <v/>
      </c>
      <c r="N51" s="91" t="str">
        <f>IF(AND('Mapa final'!$Y$44="Muy Baja",'Mapa final'!$AA$44="Leve"),CONCATENATE("R6C",'Mapa final'!$O$44),"")</f>
        <v/>
      </c>
      <c r="O51" s="92" t="str">
        <f>IF(AND('Mapa final'!$Y$45="Muy Baja",'Mapa final'!$AA$45="Leve"),CONCATENATE("R6C",'Mapa final'!$O$45),"")</f>
        <v/>
      </c>
      <c r="P51" s="90" t="str">
        <f>IF(AND('Mapa final'!$Y$40="Muy Baja",'Mapa final'!$AA$40="Menor"),CONCATENATE("R6C",'Mapa final'!$O$40),"")</f>
        <v/>
      </c>
      <c r="Q51" s="91" t="str">
        <f>IF(AND('Mapa final'!$Y$41="Muy Baja",'Mapa final'!$AA$41="Menor"),CONCATENATE("R6C",'Mapa final'!$O$41),"")</f>
        <v/>
      </c>
      <c r="R51" s="91" t="str">
        <f>IF(AND('Mapa final'!$Y$42="Muy Baja",'Mapa final'!$AA$42="Menor"),CONCATENATE("R6C",'Mapa final'!$O$42),"")</f>
        <v/>
      </c>
      <c r="S51" s="91" t="str">
        <f>IF(AND('Mapa final'!$Y$43="Muy Baja",'Mapa final'!$AA$43="Menor"),CONCATENATE("R6C",'Mapa final'!$O$43),"")</f>
        <v/>
      </c>
      <c r="T51" s="91" t="str">
        <f>IF(AND('Mapa final'!$Y$44="Muy Baja",'Mapa final'!$AA$44="Menor"),CONCATENATE("R6C",'Mapa final'!$O$44),"")</f>
        <v/>
      </c>
      <c r="U51" s="92" t="str">
        <f>IF(AND('Mapa final'!$Y$45="Muy Baja",'Mapa final'!$AA$45="Menor"),CONCATENATE("R6C",'Mapa final'!$O$45),"")</f>
        <v/>
      </c>
      <c r="V51" s="81" t="str">
        <f>IF(AND('Mapa final'!$Y$40="Muy Baja",'Mapa final'!$AA$40="Moderado"),CONCATENATE("R6C",'Mapa final'!$O$40),"")</f>
        <v/>
      </c>
      <c r="W51" s="82" t="str">
        <f>IF(AND('Mapa final'!$Y$41="Muy Baja",'Mapa final'!$AA$41="Moderado"),CONCATENATE("R6C",'Mapa final'!$O$41),"")</f>
        <v/>
      </c>
      <c r="X51" s="82" t="str">
        <f>IF(AND('Mapa final'!$Y$42="Muy Baja",'Mapa final'!$AA$42="Moderado"),CONCATENATE("R6C",'Mapa final'!$O$42),"")</f>
        <v/>
      </c>
      <c r="Y51" s="82" t="str">
        <f>IF(AND('Mapa final'!$Y$43="Muy Baja",'Mapa final'!$AA$43="Moderado"),CONCATENATE("R6C",'Mapa final'!$O$43),"")</f>
        <v/>
      </c>
      <c r="Z51" s="82" t="str">
        <f>IF(AND('Mapa final'!$Y$44="Muy Baja",'Mapa final'!$AA$44="Moderado"),CONCATENATE("R6C",'Mapa final'!$O$44),"")</f>
        <v/>
      </c>
      <c r="AA51" s="83" t="str">
        <f>IF(AND('Mapa final'!$Y$45="Muy Baja",'Mapa final'!$AA$45="Moderado"),CONCATENATE("R6C",'Mapa final'!$O$45),"")</f>
        <v/>
      </c>
      <c r="AB51" s="66" t="str">
        <f>IF(AND('Mapa final'!$Y$40="Muy Baja",'Mapa final'!$AA$40="Mayor"),CONCATENATE("R6C",'Mapa final'!$O$40),"")</f>
        <v/>
      </c>
      <c r="AC51" s="67" t="str">
        <f>IF(AND('Mapa final'!$Y$41="Muy Baja",'Mapa final'!$AA$41="Mayor"),CONCATENATE("R6C",'Mapa final'!$O$41),"")</f>
        <v/>
      </c>
      <c r="AD51" s="67" t="str">
        <f>IF(AND('Mapa final'!$Y$42="Muy Baja",'Mapa final'!$AA$42="Mayor"),CONCATENATE("R6C",'Mapa final'!$O$42),"")</f>
        <v/>
      </c>
      <c r="AE51" s="67" t="str">
        <f>IF(AND('Mapa final'!$Y$43="Muy Baja",'Mapa final'!$AA$43="Mayor"),CONCATENATE("R6C",'Mapa final'!$O$43),"")</f>
        <v/>
      </c>
      <c r="AF51" s="67" t="str">
        <f>IF(AND('Mapa final'!$Y$44="Muy Baja",'Mapa final'!$AA$44="Mayor"),CONCATENATE("R6C",'Mapa final'!$O$44),"")</f>
        <v/>
      </c>
      <c r="AG51" s="68" t="str">
        <f>IF(AND('Mapa final'!$Y$45="Muy Baja",'Mapa final'!$AA$45="Mayor"),CONCATENATE("R6C",'Mapa final'!$O$45),"")</f>
        <v/>
      </c>
      <c r="AH51" s="69" t="str">
        <f>IF(AND('Mapa final'!$Y$40="Muy Baja",'Mapa final'!$AA$40="Catastrófico"),CONCATENATE("R6C",'Mapa final'!$O$40),"")</f>
        <v/>
      </c>
      <c r="AI51" s="70" t="str">
        <f>IF(AND('Mapa final'!$Y$41="Muy Baja",'Mapa final'!$AA$41="Catastrófico"),CONCATENATE("R6C",'Mapa final'!$O$41),"")</f>
        <v/>
      </c>
      <c r="AJ51" s="70" t="str">
        <f>IF(AND('Mapa final'!$Y$42="Muy Baja",'Mapa final'!$AA$42="Catastrófico"),CONCATENATE("R6C",'Mapa final'!$O$42),"")</f>
        <v/>
      </c>
      <c r="AK51" s="70" t="str">
        <f>IF(AND('Mapa final'!$Y$43="Muy Baja",'Mapa final'!$AA$43="Catastrófico"),CONCATENATE("R6C",'Mapa final'!$O$43),"")</f>
        <v/>
      </c>
      <c r="AL51" s="70" t="str">
        <f>IF(AND('Mapa final'!$Y$44="Muy Baja",'Mapa final'!$AA$44="Catastrófico"),CONCATENATE("R6C",'Mapa final'!$O$44),"")</f>
        <v/>
      </c>
      <c r="AM51" s="71" t="str">
        <f>IF(AND('Mapa final'!$Y$45="Muy Baja",'Mapa final'!$AA$45="Catastrófico"),CONCATENATE("R6C",'Mapa final'!$O$45),"")</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x14ac:dyDescent="0.25">
      <c r="A52" s="97"/>
      <c r="B52" s="246"/>
      <c r="C52" s="246"/>
      <c r="D52" s="247"/>
      <c r="E52" s="345"/>
      <c r="F52" s="344"/>
      <c r="G52" s="344"/>
      <c r="H52" s="344"/>
      <c r="I52" s="360"/>
      <c r="J52" s="90" t="str">
        <f>IF(AND('Mapa final'!$Y$46="Muy Baja",'Mapa final'!$AA$46="Leve"),CONCATENATE("R7C",'Mapa final'!$O$46),"")</f>
        <v/>
      </c>
      <c r="K52" s="91" t="str">
        <f>IF(AND('Mapa final'!$Y$47="Muy Baja",'Mapa final'!$AA$47="Leve"),CONCATENATE("R7C",'Mapa final'!$O$47),"")</f>
        <v/>
      </c>
      <c r="L52" s="91" t="str">
        <f>IF(AND('Mapa final'!$Y$48="Muy Baja",'Mapa final'!$AA$48="Leve"),CONCATENATE("R7C",'Mapa final'!$O$48),"")</f>
        <v/>
      </c>
      <c r="M52" s="91" t="str">
        <f>IF(AND('Mapa final'!$Y$49="Muy Baja",'Mapa final'!$AA$49="Leve"),CONCATENATE("R7C",'Mapa final'!$O$49),"")</f>
        <v/>
      </c>
      <c r="N52" s="91" t="str">
        <f>IF(AND('Mapa final'!$Y$50="Muy Baja",'Mapa final'!$AA$50="Leve"),CONCATENATE("R7C",'Mapa final'!$O$50),"")</f>
        <v/>
      </c>
      <c r="O52" s="92" t="str">
        <f>IF(AND('Mapa final'!$Y$51="Muy Baja",'Mapa final'!$AA$51="Leve"),CONCATENATE("R7C",'Mapa final'!$O$51),"")</f>
        <v/>
      </c>
      <c r="P52" s="90" t="str">
        <f>IF(AND('Mapa final'!$Y$46="Muy Baja",'Mapa final'!$AA$46="Menor"),CONCATENATE("R7C",'Mapa final'!$O$46),"")</f>
        <v/>
      </c>
      <c r="Q52" s="91" t="str">
        <f>IF(AND('Mapa final'!$Y$47="Muy Baja",'Mapa final'!$AA$47="Menor"),CONCATENATE("R7C",'Mapa final'!$O$47),"")</f>
        <v/>
      </c>
      <c r="R52" s="91" t="str">
        <f>IF(AND('Mapa final'!$Y$48="Muy Baja",'Mapa final'!$AA$48="Menor"),CONCATENATE("R7C",'Mapa final'!$O$48),"")</f>
        <v/>
      </c>
      <c r="S52" s="91" t="str">
        <f>IF(AND('Mapa final'!$Y$49="Muy Baja",'Mapa final'!$AA$49="Menor"),CONCATENATE("R7C",'Mapa final'!$O$49),"")</f>
        <v/>
      </c>
      <c r="T52" s="91" t="str">
        <f>IF(AND('Mapa final'!$Y$50="Muy Baja",'Mapa final'!$AA$50="Menor"),CONCATENATE("R7C",'Mapa final'!$O$50),"")</f>
        <v/>
      </c>
      <c r="U52" s="92" t="str">
        <f>IF(AND('Mapa final'!$Y$51="Muy Baja",'Mapa final'!$AA$51="Menor"),CONCATENATE("R7C",'Mapa final'!$O$51),"")</f>
        <v/>
      </c>
      <c r="V52" s="81" t="str">
        <f>IF(AND('Mapa final'!$Y$46="Muy Baja",'Mapa final'!$AA$46="Moderado"),CONCATENATE("R7C",'Mapa final'!$O$46),"")</f>
        <v/>
      </c>
      <c r="W52" s="82" t="str">
        <f>IF(AND('Mapa final'!$Y$47="Muy Baja",'Mapa final'!$AA$47="Moderado"),CONCATENATE("R7C",'Mapa final'!$O$47),"")</f>
        <v/>
      </c>
      <c r="X52" s="82" t="str">
        <f>IF(AND('Mapa final'!$Y$48="Muy Baja",'Mapa final'!$AA$48="Moderado"),CONCATENATE("R7C",'Mapa final'!$O$48),"")</f>
        <v/>
      </c>
      <c r="Y52" s="82" t="str">
        <f>IF(AND('Mapa final'!$Y$49="Muy Baja",'Mapa final'!$AA$49="Moderado"),CONCATENATE("R7C",'Mapa final'!$O$49),"")</f>
        <v/>
      </c>
      <c r="Z52" s="82" t="str">
        <f>IF(AND('Mapa final'!$Y$50="Muy Baja",'Mapa final'!$AA$50="Moderado"),CONCATENATE("R7C",'Mapa final'!$O$50),"")</f>
        <v/>
      </c>
      <c r="AA52" s="83" t="str">
        <f>IF(AND('Mapa final'!$Y$51="Muy Baja",'Mapa final'!$AA$51="Moderado"),CONCATENATE("R7C",'Mapa final'!$O$51),"")</f>
        <v/>
      </c>
      <c r="AB52" s="66" t="str">
        <f>IF(AND('Mapa final'!$Y$46="Muy Baja",'Mapa final'!$AA$46="Mayor"),CONCATENATE("R7C",'Mapa final'!$O$46),"")</f>
        <v/>
      </c>
      <c r="AC52" s="67" t="str">
        <f>IF(AND('Mapa final'!$Y$47="Muy Baja",'Mapa final'!$AA$47="Mayor"),CONCATENATE("R7C",'Mapa final'!$O$47),"")</f>
        <v/>
      </c>
      <c r="AD52" s="67" t="str">
        <f>IF(AND('Mapa final'!$Y$48="Muy Baja",'Mapa final'!$AA$48="Mayor"),CONCATENATE("R7C",'Mapa final'!$O$48),"")</f>
        <v/>
      </c>
      <c r="AE52" s="67" t="str">
        <f>IF(AND('Mapa final'!$Y$49="Muy Baja",'Mapa final'!$AA$49="Mayor"),CONCATENATE("R7C",'Mapa final'!$O$49),"")</f>
        <v/>
      </c>
      <c r="AF52" s="67" t="str">
        <f>IF(AND('Mapa final'!$Y$50="Muy Baja",'Mapa final'!$AA$50="Mayor"),CONCATENATE("R7C",'Mapa final'!$O$50),"")</f>
        <v/>
      </c>
      <c r="AG52" s="68" t="str">
        <f>IF(AND('Mapa final'!$Y$51="Muy Baja",'Mapa final'!$AA$51="Mayor"),CONCATENATE("R7C",'Mapa final'!$O$51),"")</f>
        <v/>
      </c>
      <c r="AH52" s="69" t="str">
        <f>IF(AND('Mapa final'!$Y$46="Muy Baja",'Mapa final'!$AA$46="Catastrófico"),CONCATENATE("R7C",'Mapa final'!$O$46),"")</f>
        <v/>
      </c>
      <c r="AI52" s="70" t="str">
        <f>IF(AND('Mapa final'!$Y$47="Muy Baja",'Mapa final'!$AA$47="Catastrófico"),CONCATENATE("R7C",'Mapa final'!$O$47),"")</f>
        <v/>
      </c>
      <c r="AJ52" s="70" t="str">
        <f>IF(AND('Mapa final'!$Y$48="Muy Baja",'Mapa final'!$AA$48="Catastrófico"),CONCATENATE("R7C",'Mapa final'!$O$48),"")</f>
        <v/>
      </c>
      <c r="AK52" s="70" t="str">
        <f>IF(AND('Mapa final'!$Y$49="Muy Baja",'Mapa final'!$AA$49="Catastrófico"),CONCATENATE("R7C",'Mapa final'!$O$49),"")</f>
        <v/>
      </c>
      <c r="AL52" s="70" t="str">
        <f>IF(AND('Mapa final'!$Y$50="Muy Baja",'Mapa final'!$AA$50="Catastrófico"),CONCATENATE("R7C",'Mapa final'!$O$50),"")</f>
        <v/>
      </c>
      <c r="AM52" s="71" t="str">
        <f>IF(AND('Mapa final'!$Y$51="Muy Baja",'Mapa final'!$AA$51="Catastrófico"),CONCATENATE("R7C",'Mapa final'!$O$51),"")</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246"/>
      <c r="C53" s="246"/>
      <c r="D53" s="247"/>
      <c r="E53" s="345"/>
      <c r="F53" s="344"/>
      <c r="G53" s="344"/>
      <c r="H53" s="344"/>
      <c r="I53" s="360"/>
      <c r="J53" s="90" t="str">
        <f>IF(AND('Mapa final'!$Y$52="Muy Baja",'Mapa final'!$AA$52="Leve"),CONCATENATE("R8C",'Mapa final'!$O$52),"")</f>
        <v/>
      </c>
      <c r="K53" s="91" t="str">
        <f>IF(AND('Mapa final'!$Y$53="Muy Baja",'Mapa final'!$AA$53="Leve"),CONCATENATE("R8C",'Mapa final'!$O$53),"")</f>
        <v/>
      </c>
      <c r="L53" s="91" t="str">
        <f>IF(AND('Mapa final'!$Y$54="Muy Baja",'Mapa final'!$AA$54="Leve"),CONCATENATE("R8C",'Mapa final'!$O$54),"")</f>
        <v/>
      </c>
      <c r="M53" s="91" t="str">
        <f>IF(AND('Mapa final'!$Y$55="Muy Baja",'Mapa final'!$AA$55="Leve"),CONCATENATE("R8C",'Mapa final'!$O$55),"")</f>
        <v/>
      </c>
      <c r="N53" s="91" t="str">
        <f>IF(AND('Mapa final'!$Y$56="Muy Baja",'Mapa final'!$AA$56="Leve"),CONCATENATE("R8C",'Mapa final'!$O$56),"")</f>
        <v/>
      </c>
      <c r="O53" s="92" t="str">
        <f>IF(AND('Mapa final'!$Y$57="Muy Baja",'Mapa final'!$AA$57="Leve"),CONCATENATE("R8C",'Mapa final'!$O$57),"")</f>
        <v/>
      </c>
      <c r="P53" s="90" t="str">
        <f>IF(AND('Mapa final'!$Y$52="Muy Baja",'Mapa final'!$AA$52="Menor"),CONCATENATE("R8C",'Mapa final'!$O$52),"")</f>
        <v/>
      </c>
      <c r="Q53" s="91" t="str">
        <f>IF(AND('Mapa final'!$Y$53="Muy Baja",'Mapa final'!$AA$53="Menor"),CONCATENATE("R8C",'Mapa final'!$O$53),"")</f>
        <v/>
      </c>
      <c r="R53" s="91" t="str">
        <f>IF(AND('Mapa final'!$Y$54="Muy Baja",'Mapa final'!$AA$54="Menor"),CONCATENATE("R8C",'Mapa final'!$O$54),"")</f>
        <v/>
      </c>
      <c r="S53" s="91" t="str">
        <f>IF(AND('Mapa final'!$Y$55="Muy Baja",'Mapa final'!$AA$55="Menor"),CONCATENATE("R8C",'Mapa final'!$O$55),"")</f>
        <v/>
      </c>
      <c r="T53" s="91" t="str">
        <f>IF(AND('Mapa final'!$Y$56="Muy Baja",'Mapa final'!$AA$56="Menor"),CONCATENATE("R8C",'Mapa final'!$O$56),"")</f>
        <v/>
      </c>
      <c r="U53" s="92" t="str">
        <f>IF(AND('Mapa final'!$Y$57="Muy Baja",'Mapa final'!$AA$57="Menor"),CONCATENATE("R8C",'Mapa final'!$O$57),"")</f>
        <v/>
      </c>
      <c r="V53" s="81" t="str">
        <f>IF(AND('Mapa final'!$Y$52="Muy Baja",'Mapa final'!$AA$52="Moderado"),CONCATENATE("R8C",'Mapa final'!$O$52),"")</f>
        <v/>
      </c>
      <c r="W53" s="82" t="str">
        <f>IF(AND('Mapa final'!$Y$53="Muy Baja",'Mapa final'!$AA$53="Moderado"),CONCATENATE("R8C",'Mapa final'!$O$53),"")</f>
        <v/>
      </c>
      <c r="X53" s="82" t="str">
        <f>IF(AND('Mapa final'!$Y$54="Muy Baja",'Mapa final'!$AA$54="Moderado"),CONCATENATE("R8C",'Mapa final'!$O$54),"")</f>
        <v/>
      </c>
      <c r="Y53" s="82" t="str">
        <f>IF(AND('Mapa final'!$Y$55="Muy Baja",'Mapa final'!$AA$55="Moderado"),CONCATENATE("R8C",'Mapa final'!$O$55),"")</f>
        <v/>
      </c>
      <c r="Z53" s="82" t="str">
        <f>IF(AND('Mapa final'!$Y$56="Muy Baja",'Mapa final'!$AA$56="Moderado"),CONCATENATE("R8C",'Mapa final'!$O$56),"")</f>
        <v/>
      </c>
      <c r="AA53" s="83" t="str">
        <f>IF(AND('Mapa final'!$Y$57="Muy Baja",'Mapa final'!$AA$57="Moderado"),CONCATENATE("R8C",'Mapa final'!$O$57),"")</f>
        <v/>
      </c>
      <c r="AB53" s="66" t="str">
        <f>IF(AND('Mapa final'!$Y$52="Muy Baja",'Mapa final'!$AA$52="Mayor"),CONCATENATE("R8C",'Mapa final'!$O$52),"")</f>
        <v/>
      </c>
      <c r="AC53" s="67" t="str">
        <f>IF(AND('Mapa final'!$Y$53="Muy Baja",'Mapa final'!$AA$53="Mayor"),CONCATENATE("R8C",'Mapa final'!$O$53),"")</f>
        <v/>
      </c>
      <c r="AD53" s="67" t="str">
        <f>IF(AND('Mapa final'!$Y$54="Muy Baja",'Mapa final'!$AA$54="Mayor"),CONCATENATE("R8C",'Mapa final'!$O$54),"")</f>
        <v/>
      </c>
      <c r="AE53" s="67" t="str">
        <f>IF(AND('Mapa final'!$Y$55="Muy Baja",'Mapa final'!$AA$55="Mayor"),CONCATENATE("R8C",'Mapa final'!$O$55),"")</f>
        <v/>
      </c>
      <c r="AF53" s="67" t="str">
        <f>IF(AND('Mapa final'!$Y$56="Muy Baja",'Mapa final'!$AA$56="Mayor"),CONCATENATE("R8C",'Mapa final'!$O$56),"")</f>
        <v/>
      </c>
      <c r="AG53" s="68" t="str">
        <f>IF(AND('Mapa final'!$Y$57="Muy Baja",'Mapa final'!$AA$57="Mayor"),CONCATENATE("R8C",'Mapa final'!$O$57),"")</f>
        <v/>
      </c>
      <c r="AH53" s="69" t="str">
        <f>IF(AND('Mapa final'!$Y$52="Muy Baja",'Mapa final'!$AA$52="Catastrófico"),CONCATENATE("R8C",'Mapa final'!$O$52),"")</f>
        <v/>
      </c>
      <c r="AI53" s="70" t="str">
        <f>IF(AND('Mapa final'!$Y$53="Muy Baja",'Mapa final'!$AA$53="Catastrófico"),CONCATENATE("R8C",'Mapa final'!$O$53),"")</f>
        <v/>
      </c>
      <c r="AJ53" s="70" t="str">
        <f>IF(AND('Mapa final'!$Y$54="Muy Baja",'Mapa final'!$AA$54="Catastrófico"),CONCATENATE("R8C",'Mapa final'!$O$54),"")</f>
        <v/>
      </c>
      <c r="AK53" s="70" t="str">
        <f>IF(AND('Mapa final'!$Y$55="Muy Baja",'Mapa final'!$AA$55="Catastrófico"),CONCATENATE("R8C",'Mapa final'!$O$55),"")</f>
        <v/>
      </c>
      <c r="AL53" s="70" t="str">
        <f>IF(AND('Mapa final'!$Y$56="Muy Baja",'Mapa final'!$AA$56="Catastrófico"),CONCATENATE("R8C",'Mapa final'!$O$56),"")</f>
        <v/>
      </c>
      <c r="AM53" s="71" t="str">
        <f>IF(AND('Mapa final'!$Y$57="Muy Baja",'Mapa final'!$AA$57="Catastrófico"),CONCATENATE("R8C",'Mapa final'!$O$57),"")</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246"/>
      <c r="C54" s="246"/>
      <c r="D54" s="247"/>
      <c r="E54" s="345"/>
      <c r="F54" s="344"/>
      <c r="G54" s="344"/>
      <c r="H54" s="344"/>
      <c r="I54" s="360"/>
      <c r="J54" s="90" t="str">
        <f>IF(AND('Mapa final'!$Y$58="Muy Baja",'Mapa final'!$AA$58="Leve"),CONCATENATE("R9C",'Mapa final'!$O$58),"")</f>
        <v/>
      </c>
      <c r="K54" s="91" t="str">
        <f>IF(AND('Mapa final'!$Y$59="Muy Baja",'Mapa final'!$AA$59="Leve"),CONCATENATE("R9C",'Mapa final'!$O$59),"")</f>
        <v/>
      </c>
      <c r="L54" s="91" t="str">
        <f>IF(AND('Mapa final'!$Y$60="Muy Baja",'Mapa final'!$AA$60="Leve"),CONCATENATE("R9C",'Mapa final'!$O$60),"")</f>
        <v/>
      </c>
      <c r="M54" s="91" t="str">
        <f>IF(AND('Mapa final'!$Y$61="Muy Baja",'Mapa final'!$AA$61="Leve"),CONCATENATE("R9C",'Mapa final'!$O$61),"")</f>
        <v/>
      </c>
      <c r="N54" s="91" t="str">
        <f>IF(AND('Mapa final'!$Y$62="Muy Baja",'Mapa final'!$AA$62="Leve"),CONCATENATE("R9C",'Mapa final'!$O$62),"")</f>
        <v/>
      </c>
      <c r="O54" s="92" t="str">
        <f>IF(AND('Mapa final'!$Y$63="Muy Baja",'Mapa final'!$AA$63="Leve"),CONCATENATE("R9C",'Mapa final'!$O$63),"")</f>
        <v/>
      </c>
      <c r="P54" s="90" t="str">
        <f>IF(AND('Mapa final'!$Y$58="Muy Baja",'Mapa final'!$AA$58="Menor"),CONCATENATE("R9C",'Mapa final'!$O$58),"")</f>
        <v/>
      </c>
      <c r="Q54" s="91" t="str">
        <f>IF(AND('Mapa final'!$Y$59="Muy Baja",'Mapa final'!$AA$59="Menor"),CONCATENATE("R9C",'Mapa final'!$O$59),"")</f>
        <v/>
      </c>
      <c r="R54" s="91" t="str">
        <f>IF(AND('Mapa final'!$Y$60="Muy Baja",'Mapa final'!$AA$60="Menor"),CONCATENATE("R9C",'Mapa final'!$O$60),"")</f>
        <v/>
      </c>
      <c r="S54" s="91" t="str">
        <f>IF(AND('Mapa final'!$Y$61="Muy Baja",'Mapa final'!$AA$61="Menor"),CONCATENATE("R9C",'Mapa final'!$O$61),"")</f>
        <v/>
      </c>
      <c r="T54" s="91" t="str">
        <f>IF(AND('Mapa final'!$Y$62="Muy Baja",'Mapa final'!$AA$62="Menor"),CONCATENATE("R9C",'Mapa final'!$O$62),"")</f>
        <v/>
      </c>
      <c r="U54" s="92" t="str">
        <f>IF(AND('Mapa final'!$Y$63="Muy Baja",'Mapa final'!$AA$63="Menor"),CONCATENATE("R9C",'Mapa final'!$O$63),"")</f>
        <v/>
      </c>
      <c r="V54" s="81" t="str">
        <f>IF(AND('Mapa final'!$Y$58="Muy Baja",'Mapa final'!$AA$58="Moderado"),CONCATENATE("R9C",'Mapa final'!$O$58),"")</f>
        <v/>
      </c>
      <c r="W54" s="82" t="str">
        <f>IF(AND('Mapa final'!$Y$59="Muy Baja",'Mapa final'!$AA$59="Moderado"),CONCATENATE("R9C",'Mapa final'!$O$59),"")</f>
        <v/>
      </c>
      <c r="X54" s="82" t="str">
        <f>IF(AND('Mapa final'!$Y$60="Muy Baja",'Mapa final'!$AA$60="Moderado"),CONCATENATE("R9C",'Mapa final'!$O$60),"")</f>
        <v/>
      </c>
      <c r="Y54" s="82" t="str">
        <f>IF(AND('Mapa final'!$Y$61="Muy Baja",'Mapa final'!$AA$61="Moderado"),CONCATENATE("R9C",'Mapa final'!$O$61),"")</f>
        <v/>
      </c>
      <c r="Z54" s="82" t="str">
        <f>IF(AND('Mapa final'!$Y$62="Muy Baja",'Mapa final'!$AA$62="Moderado"),CONCATENATE("R9C",'Mapa final'!$O$62),"")</f>
        <v/>
      </c>
      <c r="AA54" s="83" t="str">
        <f>IF(AND('Mapa final'!$Y$63="Muy Baja",'Mapa final'!$AA$63="Moderado"),CONCATENATE("R9C",'Mapa final'!$O$63),"")</f>
        <v/>
      </c>
      <c r="AB54" s="66" t="str">
        <f>IF(AND('Mapa final'!$Y$58="Muy Baja",'Mapa final'!$AA$58="Mayor"),CONCATENATE("R9C",'Mapa final'!$O$58),"")</f>
        <v/>
      </c>
      <c r="AC54" s="67" t="str">
        <f>IF(AND('Mapa final'!$Y$59="Muy Baja",'Mapa final'!$AA$59="Mayor"),CONCATENATE("R9C",'Mapa final'!$O$59),"")</f>
        <v/>
      </c>
      <c r="AD54" s="67" t="str">
        <f>IF(AND('Mapa final'!$Y$60="Muy Baja",'Mapa final'!$AA$60="Mayor"),CONCATENATE("R9C",'Mapa final'!$O$60),"")</f>
        <v/>
      </c>
      <c r="AE54" s="67" t="str">
        <f>IF(AND('Mapa final'!$Y$61="Muy Baja",'Mapa final'!$AA$61="Mayor"),CONCATENATE("R9C",'Mapa final'!$O$61),"")</f>
        <v/>
      </c>
      <c r="AF54" s="67" t="str">
        <f>IF(AND('Mapa final'!$Y$62="Muy Baja",'Mapa final'!$AA$62="Mayor"),CONCATENATE("R9C",'Mapa final'!$O$62),"")</f>
        <v/>
      </c>
      <c r="AG54" s="68" t="str">
        <f>IF(AND('Mapa final'!$Y$63="Muy Baja",'Mapa final'!$AA$63="Mayor"),CONCATENATE("R9C",'Mapa final'!$O$63),"")</f>
        <v/>
      </c>
      <c r="AH54" s="69" t="str">
        <f>IF(AND('Mapa final'!$Y$58="Muy Baja",'Mapa final'!$AA$58="Catastrófico"),CONCATENATE("R9C",'Mapa final'!$O$58),"")</f>
        <v/>
      </c>
      <c r="AI54" s="70" t="str">
        <f>IF(AND('Mapa final'!$Y$59="Muy Baja",'Mapa final'!$AA$59="Catastrófico"),CONCATENATE("R9C",'Mapa final'!$O$59),"")</f>
        <v/>
      </c>
      <c r="AJ54" s="70" t="str">
        <f>IF(AND('Mapa final'!$Y$60="Muy Baja",'Mapa final'!$AA$60="Catastrófico"),CONCATENATE("R9C",'Mapa final'!$O$60),"")</f>
        <v/>
      </c>
      <c r="AK54" s="70" t="str">
        <f>IF(AND('Mapa final'!$Y$61="Muy Baja",'Mapa final'!$AA$61="Catastrófico"),CONCATENATE("R9C",'Mapa final'!$O$61),"")</f>
        <v/>
      </c>
      <c r="AL54" s="70" t="str">
        <f>IF(AND('Mapa final'!$Y$62="Muy Baja",'Mapa final'!$AA$62="Catastrófico"),CONCATENATE("R9C",'Mapa final'!$O$62),"")</f>
        <v/>
      </c>
      <c r="AM54" s="71" t="str">
        <f>IF(AND('Mapa final'!$Y$63="Muy Baja",'Mapa final'!$AA$63="Catastrófico"),CONCATENATE("R9C",'Mapa final'!$O$63),"")</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x14ac:dyDescent="0.3">
      <c r="A55" s="97"/>
      <c r="B55" s="246"/>
      <c r="C55" s="246"/>
      <c r="D55" s="247"/>
      <c r="E55" s="346"/>
      <c r="F55" s="347"/>
      <c r="G55" s="347"/>
      <c r="H55" s="347"/>
      <c r="I55" s="361"/>
      <c r="J55" s="93" t="str">
        <f>IF(AND('Mapa final'!$Y$64="Muy Baja",'Mapa final'!$AA$64="Leve"),CONCATENATE("R10C",'Mapa final'!$O$64),"")</f>
        <v/>
      </c>
      <c r="K55" s="94" t="str">
        <f>IF(AND('Mapa final'!$Y$65="Muy Baja",'Mapa final'!$AA$65="Leve"),CONCATENATE("R10C",'Mapa final'!$O$65),"")</f>
        <v/>
      </c>
      <c r="L55" s="94" t="str">
        <f>IF(AND('Mapa final'!$Y$66="Muy Baja",'Mapa final'!$AA$66="Leve"),CONCATENATE("R10C",'Mapa final'!$O$66),"")</f>
        <v/>
      </c>
      <c r="M55" s="94" t="str">
        <f>IF(AND('Mapa final'!$Y$67="Muy Baja",'Mapa final'!$AA$67="Leve"),CONCATENATE("R10C",'Mapa final'!$O$67),"")</f>
        <v/>
      </c>
      <c r="N55" s="94" t="str">
        <f>IF(AND('Mapa final'!$Y$68="Muy Baja",'Mapa final'!$AA$68="Leve"),CONCATENATE("R10C",'Mapa final'!$O$68),"")</f>
        <v/>
      </c>
      <c r="O55" s="95" t="str">
        <f>IF(AND('Mapa final'!$Y$69="Muy Baja",'Mapa final'!$AA$69="Leve"),CONCATENATE("R10C",'Mapa final'!$O$69),"")</f>
        <v/>
      </c>
      <c r="P55" s="93" t="str">
        <f>IF(AND('Mapa final'!$Y$64="Muy Baja",'Mapa final'!$AA$64="Menor"),CONCATENATE("R10C",'Mapa final'!$O$64),"")</f>
        <v/>
      </c>
      <c r="Q55" s="94" t="str">
        <f>IF(AND('Mapa final'!$Y$65="Muy Baja",'Mapa final'!$AA$65="Menor"),CONCATENATE("R10C",'Mapa final'!$O$65),"")</f>
        <v/>
      </c>
      <c r="R55" s="94" t="str">
        <f>IF(AND('Mapa final'!$Y$66="Muy Baja",'Mapa final'!$AA$66="Menor"),CONCATENATE("R10C",'Mapa final'!$O$66),"")</f>
        <v/>
      </c>
      <c r="S55" s="94" t="str">
        <f>IF(AND('Mapa final'!$Y$67="Muy Baja",'Mapa final'!$AA$67="Menor"),CONCATENATE("R10C",'Mapa final'!$O$67),"")</f>
        <v/>
      </c>
      <c r="T55" s="94" t="str">
        <f>IF(AND('Mapa final'!$Y$68="Muy Baja",'Mapa final'!$AA$68="Menor"),CONCATENATE("R10C",'Mapa final'!$O$68),"")</f>
        <v/>
      </c>
      <c r="U55" s="95" t="str">
        <f>IF(AND('Mapa final'!$Y$69="Muy Baja",'Mapa final'!$AA$69="Menor"),CONCATENATE("R10C",'Mapa final'!$O$69),"")</f>
        <v/>
      </c>
      <c r="V55" s="84" t="str">
        <f>IF(AND('Mapa final'!$Y$64="Muy Baja",'Mapa final'!$AA$64="Moderado"),CONCATENATE("R10C",'Mapa final'!$O$64),"")</f>
        <v/>
      </c>
      <c r="W55" s="85" t="str">
        <f>IF(AND('Mapa final'!$Y$65="Muy Baja",'Mapa final'!$AA$65="Moderado"),CONCATENATE("R10C",'Mapa final'!$O$65),"")</f>
        <v/>
      </c>
      <c r="X55" s="85" t="str">
        <f>IF(AND('Mapa final'!$Y$66="Muy Baja",'Mapa final'!$AA$66="Moderado"),CONCATENATE("R10C",'Mapa final'!$O$66),"")</f>
        <v/>
      </c>
      <c r="Y55" s="85" t="str">
        <f>IF(AND('Mapa final'!$Y$67="Muy Baja",'Mapa final'!$AA$67="Moderado"),CONCATENATE("R10C",'Mapa final'!$O$67),"")</f>
        <v/>
      </c>
      <c r="Z55" s="85" t="str">
        <f>IF(AND('Mapa final'!$Y$68="Muy Baja",'Mapa final'!$AA$68="Moderado"),CONCATENATE("R10C",'Mapa final'!$O$68),"")</f>
        <v/>
      </c>
      <c r="AA55" s="86" t="str">
        <f>IF(AND('Mapa final'!$Y$69="Muy Baja",'Mapa final'!$AA$69="Moderado"),CONCATENATE("R10C",'Mapa final'!$O$69),"")</f>
        <v/>
      </c>
      <c r="AB55" s="72" t="str">
        <f>IF(AND('Mapa final'!$Y$64="Muy Baja",'Mapa final'!$AA$64="Mayor"),CONCATENATE("R10C",'Mapa final'!$O$64),"")</f>
        <v/>
      </c>
      <c r="AC55" s="73" t="str">
        <f>IF(AND('Mapa final'!$Y$65="Muy Baja",'Mapa final'!$AA$65="Mayor"),CONCATENATE("R10C",'Mapa final'!$O$65),"")</f>
        <v/>
      </c>
      <c r="AD55" s="73" t="str">
        <f>IF(AND('Mapa final'!$Y$66="Muy Baja",'Mapa final'!$AA$66="Mayor"),CONCATENATE("R10C",'Mapa final'!$O$66),"")</f>
        <v/>
      </c>
      <c r="AE55" s="73" t="str">
        <f>IF(AND('Mapa final'!$Y$67="Muy Baja",'Mapa final'!$AA$67="Mayor"),CONCATENATE("R10C",'Mapa final'!$O$67),"")</f>
        <v/>
      </c>
      <c r="AF55" s="73" t="str">
        <f>IF(AND('Mapa final'!$Y$68="Muy Baja",'Mapa final'!$AA$68="Mayor"),CONCATENATE("R10C",'Mapa final'!$O$68),"")</f>
        <v/>
      </c>
      <c r="AG55" s="74" t="str">
        <f>IF(AND('Mapa final'!$Y$69="Muy Baja",'Mapa final'!$AA$69="Mayor"),CONCATENATE("R10C",'Mapa final'!$O$69),"")</f>
        <v/>
      </c>
      <c r="AH55" s="75" t="str">
        <f>IF(AND('Mapa final'!$Y$64="Muy Baja",'Mapa final'!$AA$64="Catastrófico"),CONCATENATE("R10C",'Mapa final'!$O$64),"")</f>
        <v/>
      </c>
      <c r="AI55" s="76" t="str">
        <f>IF(AND('Mapa final'!$Y$65="Muy Baja",'Mapa final'!$AA$65="Catastrófico"),CONCATENATE("R10C",'Mapa final'!$O$65),"")</f>
        <v/>
      </c>
      <c r="AJ55" s="76" t="str">
        <f>IF(AND('Mapa final'!$Y$66="Muy Baja",'Mapa final'!$AA$66="Catastrófico"),CONCATENATE("R10C",'Mapa final'!$O$66),"")</f>
        <v/>
      </c>
      <c r="AK55" s="76" t="str">
        <f>IF(AND('Mapa final'!$Y$67="Muy Baja",'Mapa final'!$AA$67="Catastrófico"),CONCATENATE("R10C",'Mapa final'!$O$67),"")</f>
        <v/>
      </c>
      <c r="AL55" s="76" t="str">
        <f>IF(AND('Mapa final'!$Y$68="Muy Baja",'Mapa final'!$AA$68="Catastrófico"),CONCATENATE("R10C",'Mapa final'!$O$68),"")</f>
        <v/>
      </c>
      <c r="AM55" s="77" t="str">
        <f>IF(AND('Mapa final'!$Y$69="Muy Baja",'Mapa final'!$AA$69="Catastrófico"),CONCATENATE("R10C",'Mapa final'!$O$69),"")</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341" t="s">
        <v>112</v>
      </c>
      <c r="K56" s="342"/>
      <c r="L56" s="342"/>
      <c r="M56" s="342"/>
      <c r="N56" s="342"/>
      <c r="O56" s="359"/>
      <c r="P56" s="341" t="s">
        <v>111</v>
      </c>
      <c r="Q56" s="342"/>
      <c r="R56" s="342"/>
      <c r="S56" s="342"/>
      <c r="T56" s="342"/>
      <c r="U56" s="359"/>
      <c r="V56" s="341" t="s">
        <v>110</v>
      </c>
      <c r="W56" s="342"/>
      <c r="X56" s="342"/>
      <c r="Y56" s="342"/>
      <c r="Z56" s="342"/>
      <c r="AA56" s="359"/>
      <c r="AB56" s="341" t="s">
        <v>109</v>
      </c>
      <c r="AC56" s="380"/>
      <c r="AD56" s="342"/>
      <c r="AE56" s="342"/>
      <c r="AF56" s="342"/>
      <c r="AG56" s="359"/>
      <c r="AH56" s="341" t="s">
        <v>108</v>
      </c>
      <c r="AI56" s="342"/>
      <c r="AJ56" s="342"/>
      <c r="AK56" s="342"/>
      <c r="AL56" s="342"/>
      <c r="AM56" s="359"/>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345"/>
      <c r="K57" s="344"/>
      <c r="L57" s="344"/>
      <c r="M57" s="344"/>
      <c r="N57" s="344"/>
      <c r="O57" s="360"/>
      <c r="P57" s="345"/>
      <c r="Q57" s="344"/>
      <c r="R57" s="344"/>
      <c r="S57" s="344"/>
      <c r="T57" s="344"/>
      <c r="U57" s="360"/>
      <c r="V57" s="345"/>
      <c r="W57" s="344"/>
      <c r="X57" s="344"/>
      <c r="Y57" s="344"/>
      <c r="Z57" s="344"/>
      <c r="AA57" s="360"/>
      <c r="AB57" s="345"/>
      <c r="AC57" s="344"/>
      <c r="AD57" s="344"/>
      <c r="AE57" s="344"/>
      <c r="AF57" s="344"/>
      <c r="AG57" s="360"/>
      <c r="AH57" s="345"/>
      <c r="AI57" s="344"/>
      <c r="AJ57" s="344"/>
      <c r="AK57" s="344"/>
      <c r="AL57" s="344"/>
      <c r="AM57" s="360"/>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345"/>
      <c r="K58" s="344"/>
      <c r="L58" s="344"/>
      <c r="M58" s="344"/>
      <c r="N58" s="344"/>
      <c r="O58" s="360"/>
      <c r="P58" s="345"/>
      <c r="Q58" s="344"/>
      <c r="R58" s="344"/>
      <c r="S58" s="344"/>
      <c r="T58" s="344"/>
      <c r="U58" s="360"/>
      <c r="V58" s="345"/>
      <c r="W58" s="344"/>
      <c r="X58" s="344"/>
      <c r="Y58" s="344"/>
      <c r="Z58" s="344"/>
      <c r="AA58" s="360"/>
      <c r="AB58" s="345"/>
      <c r="AC58" s="344"/>
      <c r="AD58" s="344"/>
      <c r="AE58" s="344"/>
      <c r="AF58" s="344"/>
      <c r="AG58" s="360"/>
      <c r="AH58" s="345"/>
      <c r="AI58" s="344"/>
      <c r="AJ58" s="344"/>
      <c r="AK58" s="344"/>
      <c r="AL58" s="344"/>
      <c r="AM58" s="360"/>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345"/>
      <c r="K59" s="344"/>
      <c r="L59" s="344"/>
      <c r="M59" s="344"/>
      <c r="N59" s="344"/>
      <c r="O59" s="360"/>
      <c r="P59" s="345"/>
      <c r="Q59" s="344"/>
      <c r="R59" s="344"/>
      <c r="S59" s="344"/>
      <c r="T59" s="344"/>
      <c r="U59" s="360"/>
      <c r="V59" s="345"/>
      <c r="W59" s="344"/>
      <c r="X59" s="344"/>
      <c r="Y59" s="344"/>
      <c r="Z59" s="344"/>
      <c r="AA59" s="360"/>
      <c r="AB59" s="345"/>
      <c r="AC59" s="344"/>
      <c r="AD59" s="344"/>
      <c r="AE59" s="344"/>
      <c r="AF59" s="344"/>
      <c r="AG59" s="360"/>
      <c r="AH59" s="345"/>
      <c r="AI59" s="344"/>
      <c r="AJ59" s="344"/>
      <c r="AK59" s="344"/>
      <c r="AL59" s="344"/>
      <c r="AM59" s="360"/>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345"/>
      <c r="K60" s="344"/>
      <c r="L60" s="344"/>
      <c r="M60" s="344"/>
      <c r="N60" s="344"/>
      <c r="O60" s="360"/>
      <c r="P60" s="345"/>
      <c r="Q60" s="344"/>
      <c r="R60" s="344"/>
      <c r="S60" s="344"/>
      <c r="T60" s="344"/>
      <c r="U60" s="360"/>
      <c r="V60" s="345"/>
      <c r="W60" s="344"/>
      <c r="X60" s="344"/>
      <c r="Y60" s="344"/>
      <c r="Z60" s="344"/>
      <c r="AA60" s="360"/>
      <c r="AB60" s="345"/>
      <c r="AC60" s="344"/>
      <c r="AD60" s="344"/>
      <c r="AE60" s="344"/>
      <c r="AF60" s="344"/>
      <c r="AG60" s="360"/>
      <c r="AH60" s="345"/>
      <c r="AI60" s="344"/>
      <c r="AJ60" s="344"/>
      <c r="AK60" s="344"/>
      <c r="AL60" s="344"/>
      <c r="AM60" s="360"/>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x14ac:dyDescent="0.3">
      <c r="A61" s="97"/>
      <c r="B61" s="97"/>
      <c r="C61" s="97"/>
      <c r="D61" s="97"/>
      <c r="E61" s="97"/>
      <c r="F61" s="97"/>
      <c r="G61" s="97"/>
      <c r="H61" s="97"/>
      <c r="I61" s="97"/>
      <c r="J61" s="346"/>
      <c r="K61" s="347"/>
      <c r="L61" s="347"/>
      <c r="M61" s="347"/>
      <c r="N61" s="347"/>
      <c r="O61" s="361"/>
      <c r="P61" s="346"/>
      <c r="Q61" s="347"/>
      <c r="R61" s="347"/>
      <c r="S61" s="347"/>
      <c r="T61" s="347"/>
      <c r="U61" s="361"/>
      <c r="V61" s="346"/>
      <c r="W61" s="347"/>
      <c r="X61" s="347"/>
      <c r="Y61" s="347"/>
      <c r="Z61" s="347"/>
      <c r="AA61" s="361"/>
      <c r="AB61" s="346"/>
      <c r="AC61" s="347"/>
      <c r="AD61" s="347"/>
      <c r="AE61" s="347"/>
      <c r="AF61" s="347"/>
      <c r="AG61" s="361"/>
      <c r="AH61" s="346"/>
      <c r="AI61" s="347"/>
      <c r="AJ61" s="347"/>
      <c r="AK61" s="347"/>
      <c r="AL61" s="347"/>
      <c r="AM61" s="361"/>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x14ac:dyDescent="0.25">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x14ac:dyDescent="0.25">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x14ac:dyDescent="0.2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x14ac:dyDescent="0.2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x14ac:dyDescent="0.2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x14ac:dyDescent="0.2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x14ac:dyDescent="0.2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x14ac:dyDescent="0.2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x14ac:dyDescent="0.2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x14ac:dyDescent="0.2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x14ac:dyDescent="0.2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x14ac:dyDescent="0.2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x14ac:dyDescent="0.2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x14ac:dyDescent="0.2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x14ac:dyDescent="0.2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x14ac:dyDescent="0.2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x14ac:dyDescent="0.2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x14ac:dyDescent="0.2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x14ac:dyDescent="0.2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x14ac:dyDescent="0.2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x14ac:dyDescent="0.2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x14ac:dyDescent="0.2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x14ac:dyDescent="0.2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x14ac:dyDescent="0.2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x14ac:dyDescent="0.2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x14ac:dyDescent="0.2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x14ac:dyDescent="0.2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x14ac:dyDescent="0.2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x14ac:dyDescent="0.2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x14ac:dyDescent="0.2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x14ac:dyDescent="0.2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x14ac:dyDescent="0.2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x14ac:dyDescent="0.2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x14ac:dyDescent="0.2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x14ac:dyDescent="0.2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x14ac:dyDescent="0.2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x14ac:dyDescent="0.2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x14ac:dyDescent="0.2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x14ac:dyDescent="0.2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x14ac:dyDescent="0.2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x14ac:dyDescent="0.2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x14ac:dyDescent="0.2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x14ac:dyDescent="0.2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x14ac:dyDescent="0.2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x14ac:dyDescent="0.2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x14ac:dyDescent="0.2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x14ac:dyDescent="0.2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x14ac:dyDescent="0.2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x14ac:dyDescent="0.2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x14ac:dyDescent="0.2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x14ac:dyDescent="0.2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x14ac:dyDescent="0.2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x14ac:dyDescent="0.2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x14ac:dyDescent="0.2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x14ac:dyDescent="0.2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x14ac:dyDescent="0.2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x14ac:dyDescent="0.2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x14ac:dyDescent="0.2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x14ac:dyDescent="0.2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x14ac:dyDescent="0.2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x14ac:dyDescent="0.2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x14ac:dyDescent="0.2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x14ac:dyDescent="0.2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x14ac:dyDescent="0.2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x14ac:dyDescent="0.2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x14ac:dyDescent="0.2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x14ac:dyDescent="0.2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x14ac:dyDescent="0.2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x14ac:dyDescent="0.2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x14ac:dyDescent="0.2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x14ac:dyDescent="0.25">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x14ac:dyDescent="0.25">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x14ac:dyDescent="0.25">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x14ac:dyDescent="0.25">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x14ac:dyDescent="0.25">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x14ac:dyDescent="0.25">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x14ac:dyDescent="0.25">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x14ac:dyDescent="0.25">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x14ac:dyDescent="0.25">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x14ac:dyDescent="0.25">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x14ac:dyDescent="0.25">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x14ac:dyDescent="0.25">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x14ac:dyDescent="0.25">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x14ac:dyDescent="0.25">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x14ac:dyDescent="0.25">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x14ac:dyDescent="0.25">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x14ac:dyDescent="0.25">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x14ac:dyDescent="0.25">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x14ac:dyDescent="0.25">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x14ac:dyDescent="0.25">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x14ac:dyDescent="0.25">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x14ac:dyDescent="0.25">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x14ac:dyDescent="0.25">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x14ac:dyDescent="0.25">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x14ac:dyDescent="0.25">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x14ac:dyDescent="0.25">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x14ac:dyDescent="0.25">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x14ac:dyDescent="0.25">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x14ac:dyDescent="0.25">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x14ac:dyDescent="0.25">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x14ac:dyDescent="0.25">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x14ac:dyDescent="0.25">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x14ac:dyDescent="0.25">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x14ac:dyDescent="0.25">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x14ac:dyDescent="0.25">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x14ac:dyDescent="0.25">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x14ac:dyDescent="0.25">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x14ac:dyDescent="0.25">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x14ac:dyDescent="0.25">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x14ac:dyDescent="0.25">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x14ac:dyDescent="0.25">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x14ac:dyDescent="0.25">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x14ac:dyDescent="0.25">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x14ac:dyDescent="0.25">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x14ac:dyDescent="0.25">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x14ac:dyDescent="0.25">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x14ac:dyDescent="0.25">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x14ac:dyDescent="0.25">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x14ac:dyDescent="0.25">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x14ac:dyDescent="0.25">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x14ac:dyDescent="0.25">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x14ac:dyDescent="0.25">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x14ac:dyDescent="0.25">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x14ac:dyDescent="0.25">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x14ac:dyDescent="0.25">
      <c r="A245" s="97"/>
    </row>
    <row r="246" spans="1:60" x14ac:dyDescent="0.25">
      <c r="A246" s="97"/>
    </row>
    <row r="247" spans="1:60" x14ac:dyDescent="0.25">
      <c r="A247" s="97"/>
    </row>
    <row r="248" spans="1:60" x14ac:dyDescent="0.25">
      <c r="A248" s="9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G13" sqref="G1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7"/>
      <c r="B1" s="381" t="s">
        <v>55</v>
      </c>
      <c r="C1" s="381"/>
      <c r="D1" s="381"/>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x14ac:dyDescent="0.25">
      <c r="A3" s="97"/>
      <c r="B3" s="11"/>
      <c r="C3" s="12" t="s">
        <v>52</v>
      </c>
      <c r="D3" s="12" t="s">
        <v>4</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x14ac:dyDescent="0.25">
      <c r="A4" s="97"/>
      <c r="B4" s="13" t="s">
        <v>51</v>
      </c>
      <c r="C4" s="14" t="s">
        <v>102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x14ac:dyDescent="0.25">
      <c r="A5" s="97"/>
      <c r="B5" s="16" t="s">
        <v>53</v>
      </c>
      <c r="C5" s="17" t="s">
        <v>103</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x14ac:dyDescent="0.25">
      <c r="A6" s="97"/>
      <c r="B6" s="19" t="s">
        <v>107</v>
      </c>
      <c r="C6" s="17" t="s">
        <v>104</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x14ac:dyDescent="0.25">
      <c r="A7" s="97"/>
      <c r="B7" s="20" t="s">
        <v>6</v>
      </c>
      <c r="C7" s="17" t="s">
        <v>105</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x14ac:dyDescent="0.25">
      <c r="A8" s="97"/>
      <c r="B8" s="21" t="s">
        <v>54</v>
      </c>
      <c r="C8" s="17" t="s">
        <v>106</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x14ac:dyDescent="0.25">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x14ac:dyDescent="0.2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x14ac:dyDescent="0.25">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x14ac:dyDescent="0.25">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x14ac:dyDescent="0.25">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x14ac:dyDescent="0.25">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x14ac:dyDescent="0.25">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x14ac:dyDescent="0.25">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x14ac:dyDescent="0.25">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x14ac:dyDescent="0.25">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x14ac:dyDescent="0.2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x14ac:dyDescent="0.2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x14ac:dyDescent="0.2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x14ac:dyDescent="0.2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x14ac:dyDescent="0.2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x14ac:dyDescent="0.2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x14ac:dyDescent="0.2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x14ac:dyDescent="0.2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x14ac:dyDescent="0.2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x14ac:dyDescent="0.25">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x14ac:dyDescent="0.25">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x14ac:dyDescent="0.25">
      <c r="A35" s="97"/>
    </row>
    <row r="36" spans="1:31" x14ac:dyDescent="0.25">
      <c r="A36" s="97"/>
    </row>
    <row r="37" spans="1:31" x14ac:dyDescent="0.25">
      <c r="A37" s="97"/>
    </row>
    <row r="38" spans="1:31" x14ac:dyDescent="0.25">
      <c r="A38" s="97"/>
    </row>
    <row r="39" spans="1:31" x14ac:dyDescent="0.25">
      <c r="A39" s="97"/>
    </row>
    <row r="40" spans="1:31" x14ac:dyDescent="0.25">
      <c r="A40" s="97"/>
    </row>
    <row r="41" spans="1:31" x14ac:dyDescent="0.25">
      <c r="A41" s="97"/>
    </row>
    <row r="42" spans="1:31" x14ac:dyDescent="0.25">
      <c r="A42" s="97"/>
    </row>
    <row r="43" spans="1:31" x14ac:dyDescent="0.25">
      <c r="A43" s="97"/>
    </row>
    <row r="44" spans="1:31" x14ac:dyDescent="0.25">
      <c r="A44" s="97"/>
    </row>
    <row r="45" spans="1:31" x14ac:dyDescent="0.25">
      <c r="A45" s="97"/>
    </row>
    <row r="46" spans="1:31" x14ac:dyDescent="0.25">
      <c r="A46" s="97"/>
    </row>
    <row r="47" spans="1:31" x14ac:dyDescent="0.25">
      <c r="A47" s="97"/>
    </row>
    <row r="48" spans="1:31" x14ac:dyDescent="0.25">
      <c r="A48" s="97"/>
    </row>
    <row r="49" spans="1:1" x14ac:dyDescent="0.25">
      <c r="A49" s="97"/>
    </row>
    <row r="50" spans="1:1" x14ac:dyDescent="0.25">
      <c r="A50" s="97"/>
    </row>
    <row r="51" spans="1:1" x14ac:dyDescent="0.25">
      <c r="A51" s="97"/>
    </row>
    <row r="52" spans="1:1" x14ac:dyDescent="0.25">
      <c r="A52" s="97"/>
    </row>
    <row r="53" spans="1:1" x14ac:dyDescent="0.25">
      <c r="A53" s="97"/>
    </row>
    <row r="54" spans="1:1" x14ac:dyDescent="0.25">
      <c r="A54" s="97"/>
    </row>
    <row r="55" spans="1:1" x14ac:dyDescent="0.25">
      <c r="A55" s="9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7"/>
      <c r="B1" s="382" t="s">
        <v>63</v>
      </c>
      <c r="C1" s="382"/>
      <c r="D1" s="382"/>
      <c r="E1" s="97"/>
      <c r="F1" s="97"/>
      <c r="G1" s="97"/>
      <c r="H1" s="97"/>
      <c r="I1" s="97"/>
      <c r="J1" s="97"/>
      <c r="K1" s="97"/>
      <c r="L1" s="97"/>
      <c r="M1" s="97"/>
      <c r="N1" s="97"/>
      <c r="O1" s="97"/>
      <c r="P1" s="97"/>
      <c r="Q1" s="97"/>
      <c r="R1" s="97"/>
      <c r="S1" s="97"/>
      <c r="T1" s="97"/>
      <c r="U1" s="97"/>
    </row>
    <row r="2" spans="1:21" x14ac:dyDescent="0.25">
      <c r="A2" s="97"/>
      <c r="B2" s="97"/>
      <c r="C2" s="97"/>
      <c r="D2" s="97"/>
      <c r="E2" s="97"/>
      <c r="F2" s="97"/>
      <c r="G2" s="97"/>
      <c r="H2" s="97"/>
      <c r="I2" s="97"/>
      <c r="J2" s="97"/>
      <c r="K2" s="97"/>
      <c r="L2" s="97"/>
      <c r="M2" s="97"/>
      <c r="N2" s="97"/>
      <c r="O2" s="97"/>
      <c r="P2" s="97"/>
      <c r="Q2" s="97"/>
      <c r="R2" s="97"/>
      <c r="S2" s="97"/>
      <c r="T2" s="97"/>
      <c r="U2" s="97"/>
    </row>
    <row r="3" spans="1:21" ht="30" x14ac:dyDescent="0.25">
      <c r="A3" s="97"/>
      <c r="B3" s="118"/>
      <c r="C3" s="38" t="s">
        <v>56</v>
      </c>
      <c r="D3" s="38" t="s">
        <v>57</v>
      </c>
      <c r="E3" s="97"/>
      <c r="F3" s="97"/>
      <c r="G3" s="97"/>
      <c r="H3" s="97"/>
      <c r="I3" s="97"/>
      <c r="J3" s="97"/>
      <c r="K3" s="97"/>
      <c r="L3" s="97"/>
      <c r="M3" s="97"/>
      <c r="N3" s="97"/>
      <c r="O3" s="97"/>
      <c r="P3" s="97"/>
      <c r="Q3" s="97"/>
      <c r="R3" s="97"/>
      <c r="S3" s="97"/>
      <c r="T3" s="97"/>
      <c r="U3" s="97"/>
    </row>
    <row r="4" spans="1:21" ht="33.75" x14ac:dyDescent="0.25">
      <c r="A4" s="117" t="s">
        <v>83</v>
      </c>
      <c r="B4" s="41" t="s">
        <v>101</v>
      </c>
      <c r="C4" s="46" t="s">
        <v>158</v>
      </c>
      <c r="D4" s="39" t="s">
        <v>97</v>
      </c>
      <c r="E4" s="97"/>
      <c r="F4" s="97"/>
      <c r="G4" s="97"/>
      <c r="H4" s="97"/>
      <c r="I4" s="97"/>
      <c r="J4" s="97"/>
      <c r="K4" s="97"/>
      <c r="L4" s="97"/>
      <c r="M4" s="97"/>
      <c r="N4" s="97"/>
      <c r="O4" s="97"/>
      <c r="P4" s="97"/>
      <c r="Q4" s="97"/>
      <c r="R4" s="97"/>
      <c r="S4" s="97"/>
      <c r="T4" s="97"/>
      <c r="U4" s="97"/>
    </row>
    <row r="5" spans="1:21" ht="67.5" x14ac:dyDescent="0.25">
      <c r="A5" s="117" t="s">
        <v>84</v>
      </c>
      <c r="B5" s="42" t="s">
        <v>59</v>
      </c>
      <c r="C5" s="47" t="s">
        <v>93</v>
      </c>
      <c r="D5" s="40" t="s">
        <v>98</v>
      </c>
      <c r="E5" s="97"/>
      <c r="F5" s="97"/>
      <c r="G5" s="97"/>
      <c r="H5" s="97"/>
      <c r="I5" s="97"/>
      <c r="J5" s="97"/>
      <c r="K5" s="97"/>
      <c r="L5" s="97"/>
      <c r="M5" s="97"/>
      <c r="N5" s="97"/>
      <c r="O5" s="97"/>
      <c r="P5" s="97"/>
      <c r="Q5" s="97"/>
      <c r="R5" s="97"/>
      <c r="S5" s="97"/>
      <c r="T5" s="97"/>
      <c r="U5" s="97"/>
    </row>
    <row r="6" spans="1:21" ht="67.5" x14ac:dyDescent="0.25">
      <c r="A6" s="117" t="s">
        <v>81</v>
      </c>
      <c r="B6" s="43" t="s">
        <v>60</v>
      </c>
      <c r="C6" s="47" t="s">
        <v>94</v>
      </c>
      <c r="D6" s="40" t="s">
        <v>100</v>
      </c>
      <c r="E6" s="97"/>
      <c r="F6" s="97"/>
      <c r="G6" s="97"/>
      <c r="H6" s="97"/>
      <c r="I6" s="97"/>
      <c r="J6" s="97"/>
      <c r="K6" s="97"/>
      <c r="L6" s="97"/>
      <c r="M6" s="97"/>
      <c r="N6" s="97"/>
      <c r="O6" s="97"/>
      <c r="P6" s="97"/>
      <c r="Q6" s="97"/>
      <c r="R6" s="97"/>
      <c r="S6" s="97"/>
      <c r="T6" s="97"/>
      <c r="U6" s="97"/>
    </row>
    <row r="7" spans="1:21" ht="101.25" x14ac:dyDescent="0.25">
      <c r="A7" s="117" t="s">
        <v>7</v>
      </c>
      <c r="B7" s="44" t="s">
        <v>61</v>
      </c>
      <c r="C7" s="47" t="s">
        <v>95</v>
      </c>
      <c r="D7" s="40" t="s">
        <v>99</v>
      </c>
      <c r="E7" s="97"/>
      <c r="F7" s="97"/>
      <c r="G7" s="97"/>
      <c r="H7" s="97"/>
      <c r="I7" s="97"/>
      <c r="J7" s="97"/>
      <c r="K7" s="97"/>
      <c r="L7" s="97"/>
      <c r="M7" s="97"/>
      <c r="N7" s="97"/>
      <c r="O7" s="97"/>
      <c r="P7" s="97"/>
      <c r="Q7" s="97"/>
      <c r="R7" s="97"/>
      <c r="S7" s="97"/>
      <c r="T7" s="97"/>
      <c r="U7" s="97"/>
    </row>
    <row r="8" spans="1:21" ht="67.5" x14ac:dyDescent="0.25">
      <c r="A8" s="117" t="s">
        <v>85</v>
      </c>
      <c r="B8" s="45" t="s">
        <v>62</v>
      </c>
      <c r="C8" s="47" t="s">
        <v>96</v>
      </c>
      <c r="D8" s="40" t="s">
        <v>118</v>
      </c>
      <c r="E8" s="97"/>
      <c r="F8" s="97"/>
      <c r="G8" s="97"/>
      <c r="H8" s="97"/>
      <c r="I8" s="97"/>
      <c r="J8" s="97"/>
      <c r="K8" s="97"/>
      <c r="L8" s="97"/>
      <c r="M8" s="97"/>
      <c r="N8" s="97"/>
      <c r="O8" s="97"/>
      <c r="P8" s="97"/>
      <c r="Q8" s="97"/>
      <c r="R8" s="97"/>
      <c r="S8" s="97"/>
      <c r="T8" s="97"/>
      <c r="U8" s="97"/>
    </row>
    <row r="9" spans="1:21" ht="20.25" x14ac:dyDescent="0.25">
      <c r="A9" s="117"/>
      <c r="B9" s="117"/>
      <c r="C9" s="119"/>
      <c r="D9" s="119"/>
      <c r="E9" s="97"/>
      <c r="F9" s="97"/>
      <c r="G9" s="97"/>
      <c r="H9" s="97"/>
      <c r="I9" s="97"/>
      <c r="J9" s="97"/>
      <c r="K9" s="97"/>
      <c r="L9" s="97"/>
      <c r="M9" s="97"/>
      <c r="N9" s="97"/>
      <c r="O9" s="97"/>
      <c r="P9" s="97"/>
      <c r="Q9" s="97"/>
      <c r="R9" s="97"/>
      <c r="S9" s="97"/>
      <c r="T9" s="97"/>
      <c r="U9" s="97"/>
    </row>
    <row r="10" spans="1:21" ht="16.5" x14ac:dyDescent="0.25">
      <c r="A10" s="117"/>
      <c r="B10" s="120"/>
      <c r="C10" s="120"/>
      <c r="D10" s="120"/>
      <c r="E10" s="97"/>
      <c r="F10" s="97"/>
      <c r="G10" s="97"/>
      <c r="H10" s="97"/>
      <c r="I10" s="97"/>
      <c r="J10" s="97"/>
      <c r="K10" s="97"/>
      <c r="L10" s="97"/>
      <c r="M10" s="97"/>
      <c r="N10" s="97"/>
      <c r="O10" s="97"/>
      <c r="P10" s="97"/>
      <c r="Q10" s="97"/>
      <c r="R10" s="97"/>
      <c r="S10" s="97"/>
      <c r="T10" s="97"/>
      <c r="U10" s="97"/>
    </row>
    <row r="11" spans="1:21" x14ac:dyDescent="0.25">
      <c r="A11" s="117"/>
      <c r="B11" s="117" t="s">
        <v>91</v>
      </c>
      <c r="C11" s="117" t="s">
        <v>146</v>
      </c>
      <c r="D11" s="117" t="s">
        <v>153</v>
      </c>
      <c r="E11" s="97"/>
      <c r="F11" s="97"/>
      <c r="G11" s="97"/>
      <c r="H11" s="97"/>
      <c r="I11" s="97"/>
      <c r="J11" s="97"/>
      <c r="K11" s="97"/>
      <c r="L11" s="97"/>
      <c r="M11" s="97"/>
      <c r="N11" s="97"/>
      <c r="O11" s="97"/>
      <c r="P11" s="97"/>
      <c r="Q11" s="97"/>
      <c r="R11" s="97"/>
      <c r="S11" s="97"/>
      <c r="T11" s="97"/>
      <c r="U11" s="97"/>
    </row>
    <row r="12" spans="1:21" x14ac:dyDescent="0.25">
      <c r="A12" s="117"/>
      <c r="B12" s="117" t="s">
        <v>89</v>
      </c>
      <c r="C12" s="117" t="s">
        <v>150</v>
      </c>
      <c r="D12" s="117" t="s">
        <v>154</v>
      </c>
      <c r="E12" s="97"/>
      <c r="F12" s="97"/>
      <c r="G12" s="97"/>
      <c r="H12" s="97"/>
      <c r="I12" s="97"/>
      <c r="J12" s="97"/>
      <c r="K12" s="97"/>
      <c r="L12" s="97"/>
      <c r="M12" s="97"/>
      <c r="N12" s="97"/>
      <c r="O12" s="97"/>
      <c r="P12" s="97"/>
      <c r="Q12" s="97"/>
      <c r="R12" s="97"/>
      <c r="S12" s="97"/>
      <c r="T12" s="97"/>
      <c r="U12" s="97"/>
    </row>
    <row r="13" spans="1:21" x14ac:dyDescent="0.25">
      <c r="A13" s="117"/>
      <c r="B13" s="117"/>
      <c r="C13" s="117" t="s">
        <v>149</v>
      </c>
      <c r="D13" s="117" t="s">
        <v>155</v>
      </c>
      <c r="E13" s="97"/>
      <c r="F13" s="97"/>
      <c r="G13" s="97"/>
      <c r="H13" s="97"/>
      <c r="I13" s="97"/>
      <c r="J13" s="97"/>
      <c r="K13" s="97"/>
      <c r="L13" s="97"/>
      <c r="M13" s="97"/>
      <c r="N13" s="97"/>
      <c r="O13" s="97"/>
      <c r="P13" s="97"/>
      <c r="Q13" s="97"/>
      <c r="R13" s="97"/>
      <c r="S13" s="97"/>
      <c r="T13" s="97"/>
      <c r="U13" s="97"/>
    </row>
    <row r="14" spans="1:21" x14ac:dyDescent="0.25">
      <c r="A14" s="117"/>
      <c r="B14" s="117"/>
      <c r="C14" s="117" t="s">
        <v>151</v>
      </c>
      <c r="D14" s="117" t="s">
        <v>156</v>
      </c>
      <c r="E14" s="97"/>
      <c r="F14" s="97"/>
      <c r="G14" s="97"/>
      <c r="H14" s="97"/>
      <c r="I14" s="97"/>
      <c r="J14" s="97"/>
      <c r="K14" s="97"/>
      <c r="L14" s="97"/>
      <c r="M14" s="97"/>
      <c r="N14" s="97"/>
      <c r="O14" s="97"/>
      <c r="P14" s="97"/>
      <c r="Q14" s="97"/>
      <c r="R14" s="97"/>
      <c r="S14" s="97"/>
      <c r="T14" s="97"/>
      <c r="U14" s="97"/>
    </row>
    <row r="15" spans="1:21" x14ac:dyDescent="0.25">
      <c r="A15" s="117"/>
      <c r="B15" s="117"/>
      <c r="C15" s="117" t="s">
        <v>152</v>
      </c>
      <c r="D15" s="117" t="s">
        <v>157</v>
      </c>
      <c r="E15" s="97"/>
      <c r="F15" s="97"/>
      <c r="G15" s="97"/>
      <c r="H15" s="97"/>
      <c r="I15" s="97"/>
      <c r="J15" s="97"/>
      <c r="K15" s="97"/>
      <c r="L15" s="97"/>
      <c r="M15" s="97"/>
      <c r="N15" s="97"/>
      <c r="O15" s="97"/>
      <c r="P15" s="97"/>
      <c r="Q15" s="97"/>
      <c r="R15" s="97"/>
      <c r="S15" s="97"/>
      <c r="T15" s="97"/>
      <c r="U15" s="97"/>
    </row>
    <row r="16" spans="1:21" x14ac:dyDescent="0.25">
      <c r="A16" s="117"/>
      <c r="B16" s="117"/>
      <c r="C16" s="117"/>
      <c r="D16" s="117"/>
      <c r="E16" s="97"/>
      <c r="F16" s="97"/>
      <c r="G16" s="97"/>
      <c r="H16" s="97"/>
      <c r="I16" s="97"/>
      <c r="J16" s="97"/>
      <c r="K16" s="97"/>
      <c r="L16" s="97"/>
      <c r="M16" s="97"/>
      <c r="N16" s="97"/>
      <c r="O16" s="97"/>
    </row>
    <row r="17" spans="1:15" x14ac:dyDescent="0.25">
      <c r="A17" s="117"/>
      <c r="B17" s="117"/>
      <c r="C17" s="117"/>
      <c r="D17" s="117"/>
      <c r="E17" s="97"/>
      <c r="F17" s="97"/>
      <c r="G17" s="97"/>
      <c r="H17" s="97"/>
      <c r="I17" s="97"/>
      <c r="J17" s="97"/>
      <c r="K17" s="97"/>
      <c r="L17" s="97"/>
      <c r="M17" s="97"/>
      <c r="N17" s="97"/>
      <c r="O17" s="97"/>
    </row>
    <row r="18" spans="1:15" x14ac:dyDescent="0.25">
      <c r="A18" s="117"/>
      <c r="B18" s="121"/>
      <c r="C18" s="121"/>
      <c r="D18" s="121"/>
      <c r="E18" s="97"/>
      <c r="F18" s="97"/>
      <c r="G18" s="97"/>
      <c r="H18" s="97"/>
      <c r="I18" s="97"/>
      <c r="J18" s="97"/>
      <c r="K18" s="97"/>
      <c r="L18" s="97"/>
      <c r="M18" s="97"/>
      <c r="N18" s="97"/>
      <c r="O18" s="97"/>
    </row>
    <row r="19" spans="1:15" x14ac:dyDescent="0.25">
      <c r="A19" s="117"/>
      <c r="B19" s="121"/>
      <c r="C19" s="121"/>
      <c r="D19" s="121"/>
      <c r="E19" s="97"/>
      <c r="F19" s="97"/>
      <c r="G19" s="97"/>
      <c r="H19" s="97"/>
      <c r="I19" s="97"/>
      <c r="J19" s="97"/>
      <c r="K19" s="97"/>
      <c r="L19" s="97"/>
      <c r="M19" s="97"/>
      <c r="N19" s="97"/>
      <c r="O19" s="97"/>
    </row>
    <row r="20" spans="1:15" x14ac:dyDescent="0.25">
      <c r="A20" s="117"/>
      <c r="B20" s="121"/>
      <c r="C20" s="121"/>
      <c r="D20" s="121"/>
      <c r="E20" s="97"/>
      <c r="F20" s="97"/>
      <c r="G20" s="97"/>
      <c r="H20" s="97"/>
      <c r="I20" s="97"/>
      <c r="J20" s="97"/>
      <c r="K20" s="97"/>
      <c r="L20" s="97"/>
      <c r="M20" s="97"/>
      <c r="N20" s="97"/>
      <c r="O20" s="97"/>
    </row>
    <row r="21" spans="1:15" x14ac:dyDescent="0.25">
      <c r="A21" s="117"/>
      <c r="B21" s="121"/>
      <c r="C21" s="121"/>
      <c r="D21" s="121"/>
      <c r="E21" s="97"/>
      <c r="F21" s="97"/>
      <c r="G21" s="97"/>
      <c r="H21" s="97"/>
      <c r="I21" s="97"/>
      <c r="J21" s="97"/>
      <c r="K21" s="97"/>
      <c r="L21" s="97"/>
      <c r="M21" s="97"/>
      <c r="N21" s="97"/>
      <c r="O21" s="97"/>
    </row>
    <row r="22" spans="1:15" ht="20.25" x14ac:dyDescent="0.25">
      <c r="A22" s="117"/>
      <c r="B22" s="117"/>
      <c r="C22" s="119"/>
      <c r="D22" s="119"/>
      <c r="E22" s="97"/>
      <c r="F22" s="97"/>
      <c r="G22" s="97"/>
      <c r="H22" s="97"/>
      <c r="I22" s="97"/>
      <c r="J22" s="97"/>
      <c r="K22" s="97"/>
      <c r="L22" s="97"/>
      <c r="M22" s="97"/>
      <c r="N22" s="97"/>
      <c r="O22" s="97"/>
    </row>
    <row r="23" spans="1:15" ht="20.25" x14ac:dyDescent="0.25">
      <c r="A23" s="117"/>
      <c r="B23" s="117"/>
      <c r="C23" s="119"/>
      <c r="D23" s="119"/>
      <c r="E23" s="97"/>
      <c r="F23" s="97"/>
      <c r="G23" s="97"/>
      <c r="H23" s="97"/>
      <c r="I23" s="97"/>
      <c r="J23" s="97"/>
      <c r="K23" s="97"/>
      <c r="L23" s="97"/>
      <c r="M23" s="97"/>
      <c r="N23" s="97"/>
      <c r="O23" s="97"/>
    </row>
    <row r="24" spans="1:15" ht="20.25" x14ac:dyDescent="0.25">
      <c r="A24" s="117"/>
      <c r="B24" s="117"/>
      <c r="C24" s="119"/>
      <c r="D24" s="119"/>
      <c r="E24" s="97"/>
      <c r="F24" s="97"/>
      <c r="G24" s="97"/>
      <c r="H24" s="97"/>
      <c r="I24" s="97"/>
      <c r="J24" s="97"/>
      <c r="K24" s="97"/>
      <c r="L24" s="97"/>
      <c r="M24" s="97"/>
      <c r="N24" s="97"/>
      <c r="O24" s="97"/>
    </row>
    <row r="25" spans="1:15" ht="20.25" x14ac:dyDescent="0.25">
      <c r="A25" s="117"/>
      <c r="B25" s="117"/>
      <c r="C25" s="119"/>
      <c r="D25" s="119"/>
      <c r="E25" s="97"/>
      <c r="F25" s="97"/>
      <c r="G25" s="97"/>
      <c r="H25" s="97"/>
      <c r="I25" s="97"/>
      <c r="J25" s="97"/>
      <c r="K25" s="97"/>
      <c r="L25" s="97"/>
      <c r="M25" s="97"/>
      <c r="N25" s="97"/>
      <c r="O25" s="97"/>
    </row>
    <row r="26" spans="1:15" ht="20.25" x14ac:dyDescent="0.25">
      <c r="A26" s="117"/>
      <c r="B26" s="117"/>
      <c r="C26" s="119"/>
      <c r="D26" s="119"/>
      <c r="E26" s="97"/>
      <c r="F26" s="97"/>
      <c r="G26" s="97"/>
      <c r="H26" s="97"/>
      <c r="I26" s="97"/>
      <c r="J26" s="97"/>
      <c r="K26" s="97"/>
      <c r="L26" s="97"/>
      <c r="M26" s="97"/>
      <c r="N26" s="97"/>
      <c r="O26" s="97"/>
    </row>
    <row r="27" spans="1:15" ht="20.25" x14ac:dyDescent="0.25">
      <c r="A27" s="117"/>
      <c r="B27" s="117"/>
      <c r="C27" s="119"/>
      <c r="D27" s="119"/>
      <c r="E27" s="97"/>
      <c r="F27" s="97"/>
      <c r="G27" s="97"/>
      <c r="H27" s="97"/>
      <c r="I27" s="97"/>
      <c r="J27" s="97"/>
      <c r="K27" s="97"/>
      <c r="L27" s="97"/>
      <c r="M27" s="97"/>
      <c r="N27" s="97"/>
      <c r="O27" s="97"/>
    </row>
    <row r="28" spans="1:15" ht="20.25" x14ac:dyDescent="0.25">
      <c r="A28" s="117"/>
      <c r="B28" s="117"/>
      <c r="C28" s="119"/>
      <c r="D28" s="119"/>
      <c r="E28" s="97"/>
      <c r="F28" s="97"/>
      <c r="G28" s="97"/>
      <c r="H28" s="97"/>
      <c r="I28" s="97"/>
      <c r="J28" s="97"/>
      <c r="K28" s="97"/>
      <c r="L28" s="97"/>
      <c r="M28" s="97"/>
      <c r="N28" s="97"/>
      <c r="O28" s="97"/>
    </row>
    <row r="29" spans="1:15" ht="20.25" x14ac:dyDescent="0.25">
      <c r="A29" s="117"/>
      <c r="B29" s="117"/>
      <c r="C29" s="119"/>
      <c r="D29" s="119"/>
      <c r="E29" s="97"/>
      <c r="F29" s="97"/>
      <c r="G29" s="97"/>
      <c r="H29" s="97"/>
      <c r="I29" s="97"/>
      <c r="J29" s="97"/>
      <c r="K29" s="97"/>
      <c r="L29" s="97"/>
      <c r="M29" s="97"/>
      <c r="N29" s="97"/>
      <c r="O29" s="97"/>
    </row>
    <row r="30" spans="1:15" ht="20.25" x14ac:dyDescent="0.25">
      <c r="A30" s="117"/>
      <c r="B30" s="117"/>
      <c r="C30" s="119"/>
      <c r="D30" s="119"/>
      <c r="E30" s="97"/>
      <c r="F30" s="97"/>
      <c r="G30" s="97"/>
      <c r="H30" s="97"/>
      <c r="I30" s="97"/>
      <c r="J30" s="97"/>
      <c r="K30" s="97"/>
      <c r="L30" s="97"/>
      <c r="M30" s="97"/>
      <c r="N30" s="97"/>
      <c r="O30" s="97"/>
    </row>
    <row r="31" spans="1:15" ht="20.25" x14ac:dyDescent="0.25">
      <c r="A31" s="117"/>
      <c r="B31" s="117"/>
      <c r="C31" s="119"/>
      <c r="D31" s="119"/>
      <c r="E31" s="97"/>
      <c r="F31" s="97"/>
      <c r="G31" s="97"/>
      <c r="H31" s="97"/>
      <c r="I31" s="97"/>
      <c r="J31" s="97"/>
      <c r="K31" s="97"/>
      <c r="L31" s="97"/>
      <c r="M31" s="97"/>
      <c r="N31" s="97"/>
      <c r="O31" s="97"/>
    </row>
    <row r="32" spans="1:15" ht="20.25" x14ac:dyDescent="0.25">
      <c r="A32" s="117"/>
      <c r="B32" s="117"/>
      <c r="C32" s="119"/>
      <c r="D32" s="119"/>
      <c r="E32" s="97"/>
      <c r="F32" s="97"/>
      <c r="G32" s="97"/>
      <c r="H32" s="97"/>
      <c r="I32" s="97"/>
      <c r="J32" s="97"/>
      <c r="K32" s="97"/>
      <c r="L32" s="97"/>
      <c r="M32" s="97"/>
      <c r="N32" s="97"/>
      <c r="O32" s="97"/>
    </row>
    <row r="33" spans="1:15" ht="20.25" x14ac:dyDescent="0.25">
      <c r="A33" s="117"/>
      <c r="B33" s="117"/>
      <c r="C33" s="119"/>
      <c r="D33" s="119"/>
      <c r="E33" s="97"/>
      <c r="F33" s="97"/>
      <c r="G33" s="97"/>
      <c r="H33" s="97"/>
      <c r="I33" s="97"/>
      <c r="J33" s="97"/>
      <c r="K33" s="97"/>
      <c r="L33" s="97"/>
      <c r="M33" s="97"/>
      <c r="N33" s="97"/>
      <c r="O33" s="97"/>
    </row>
    <row r="34" spans="1:15" ht="20.25" x14ac:dyDescent="0.25">
      <c r="A34" s="117"/>
      <c r="B34" s="117"/>
      <c r="C34" s="119"/>
      <c r="D34" s="119"/>
      <c r="E34" s="97"/>
      <c r="F34" s="97"/>
      <c r="G34" s="97"/>
      <c r="H34" s="97"/>
      <c r="I34" s="97"/>
      <c r="J34" s="97"/>
      <c r="K34" s="97"/>
      <c r="L34" s="97"/>
      <c r="M34" s="97"/>
      <c r="N34" s="97"/>
      <c r="O34" s="97"/>
    </row>
    <row r="35" spans="1:15" ht="20.25" x14ac:dyDescent="0.25">
      <c r="A35" s="117"/>
      <c r="B35" s="117"/>
      <c r="C35" s="119"/>
      <c r="D35" s="119"/>
      <c r="E35" s="97"/>
      <c r="F35" s="97"/>
      <c r="G35" s="97"/>
      <c r="H35" s="97"/>
      <c r="I35" s="97"/>
      <c r="J35" s="97"/>
      <c r="K35" s="97"/>
      <c r="L35" s="97"/>
      <c r="M35" s="97"/>
      <c r="N35" s="97"/>
      <c r="O35" s="97"/>
    </row>
    <row r="36" spans="1:15" ht="20.25" x14ac:dyDescent="0.25">
      <c r="A36" s="117"/>
      <c r="B36" s="117"/>
      <c r="C36" s="119"/>
      <c r="D36" s="119"/>
      <c r="E36" s="97"/>
      <c r="F36" s="97"/>
      <c r="G36" s="97"/>
      <c r="H36" s="97"/>
      <c r="I36" s="97"/>
      <c r="J36" s="97"/>
      <c r="K36" s="97"/>
      <c r="L36" s="97"/>
      <c r="M36" s="97"/>
      <c r="N36" s="97"/>
      <c r="O36" s="97"/>
    </row>
    <row r="37" spans="1:15" ht="20.25" x14ac:dyDescent="0.25">
      <c r="A37" s="117"/>
      <c r="B37" s="117"/>
      <c r="C37" s="119"/>
      <c r="D37" s="119"/>
      <c r="E37" s="97"/>
      <c r="F37" s="97"/>
      <c r="G37" s="97"/>
      <c r="H37" s="97"/>
      <c r="I37" s="97"/>
      <c r="J37" s="97"/>
      <c r="K37" s="97"/>
      <c r="L37" s="97"/>
      <c r="M37" s="97"/>
      <c r="N37" s="97"/>
      <c r="O37" s="97"/>
    </row>
    <row r="38" spans="1:15" ht="20.25" x14ac:dyDescent="0.25">
      <c r="A38" s="117"/>
      <c r="B38" s="117"/>
      <c r="C38" s="119"/>
      <c r="D38" s="119"/>
      <c r="E38" s="97"/>
      <c r="F38" s="97"/>
      <c r="G38" s="97"/>
      <c r="H38" s="97"/>
      <c r="I38" s="97"/>
      <c r="J38" s="97"/>
      <c r="K38" s="97"/>
      <c r="L38" s="97"/>
      <c r="M38" s="97"/>
      <c r="N38" s="97"/>
      <c r="O38" s="97"/>
    </row>
    <row r="39" spans="1:15" ht="20.25" x14ac:dyDescent="0.25">
      <c r="A39" s="117"/>
      <c r="B39" s="117"/>
      <c r="C39" s="119"/>
      <c r="D39" s="119"/>
      <c r="E39" s="97"/>
      <c r="F39" s="97"/>
      <c r="G39" s="97"/>
      <c r="H39" s="97"/>
      <c r="I39" s="97"/>
      <c r="J39" s="97"/>
      <c r="K39" s="97"/>
      <c r="L39" s="97"/>
      <c r="M39" s="97"/>
      <c r="N39" s="97"/>
      <c r="O39" s="97"/>
    </row>
    <row r="40" spans="1:15" ht="20.25" x14ac:dyDescent="0.25">
      <c r="A40" s="117"/>
      <c r="B40" s="117"/>
      <c r="C40" s="119"/>
      <c r="D40" s="119"/>
      <c r="E40" s="97"/>
      <c r="F40" s="97"/>
      <c r="G40" s="97"/>
      <c r="H40" s="97"/>
      <c r="I40" s="97"/>
      <c r="J40" s="97"/>
      <c r="K40" s="97"/>
      <c r="L40" s="97"/>
      <c r="M40" s="97"/>
      <c r="N40" s="97"/>
      <c r="O40" s="97"/>
    </row>
    <row r="41" spans="1:15" ht="20.25" x14ac:dyDescent="0.25">
      <c r="A41" s="117"/>
      <c r="B41" s="117"/>
      <c r="C41" s="119"/>
      <c r="D41" s="119"/>
      <c r="E41" s="97"/>
      <c r="F41" s="97"/>
      <c r="G41" s="97"/>
      <c r="H41" s="97"/>
      <c r="I41" s="97"/>
      <c r="J41" s="97"/>
      <c r="K41" s="97"/>
      <c r="L41" s="97"/>
      <c r="M41" s="97"/>
      <c r="N41" s="97"/>
      <c r="O41" s="97"/>
    </row>
    <row r="42" spans="1:15" ht="20.25" x14ac:dyDescent="0.25">
      <c r="A42" s="117"/>
      <c r="B42" s="117"/>
      <c r="C42" s="119"/>
      <c r="D42" s="119"/>
      <c r="E42" s="97"/>
      <c r="F42" s="97"/>
      <c r="G42" s="97"/>
      <c r="H42" s="97"/>
      <c r="I42" s="97"/>
      <c r="J42" s="97"/>
      <c r="K42" s="97"/>
      <c r="L42" s="97"/>
      <c r="M42" s="97"/>
      <c r="N42" s="97"/>
      <c r="O42" s="97"/>
    </row>
    <row r="43" spans="1:15" ht="20.25" x14ac:dyDescent="0.25">
      <c r="A43" s="117"/>
      <c r="B43" s="117"/>
      <c r="C43" s="119"/>
      <c r="D43" s="119"/>
      <c r="E43" s="97"/>
      <c r="F43" s="97"/>
      <c r="G43" s="97"/>
      <c r="H43" s="97"/>
      <c r="I43" s="97"/>
      <c r="J43" s="97"/>
      <c r="K43" s="97"/>
      <c r="L43" s="97"/>
      <c r="M43" s="97"/>
      <c r="N43" s="97"/>
      <c r="O43" s="97"/>
    </row>
    <row r="44" spans="1:15" ht="20.25" x14ac:dyDescent="0.25">
      <c r="A44" s="117"/>
      <c r="B44" s="117"/>
      <c r="C44" s="119"/>
      <c r="D44" s="119"/>
      <c r="E44" s="97"/>
      <c r="F44" s="97"/>
      <c r="G44" s="97"/>
      <c r="H44" s="97"/>
      <c r="I44" s="97"/>
      <c r="J44" s="97"/>
      <c r="K44" s="97"/>
      <c r="L44" s="97"/>
      <c r="M44" s="97"/>
      <c r="N44" s="97"/>
      <c r="O44" s="97"/>
    </row>
    <row r="45" spans="1:15" ht="20.25" x14ac:dyDescent="0.25">
      <c r="A45" s="117"/>
      <c r="B45" s="117"/>
      <c r="C45" s="119"/>
      <c r="D45" s="119"/>
      <c r="E45" s="97"/>
      <c r="F45" s="97"/>
      <c r="G45" s="97"/>
      <c r="H45" s="97"/>
      <c r="I45" s="97"/>
      <c r="J45" s="97"/>
      <c r="K45" s="97"/>
      <c r="L45" s="97"/>
      <c r="M45" s="97"/>
      <c r="N45" s="97"/>
      <c r="O45" s="97"/>
    </row>
    <row r="46" spans="1:15" ht="20.25" x14ac:dyDescent="0.25">
      <c r="A46" s="117"/>
      <c r="B46" s="117"/>
      <c r="C46" s="119"/>
      <c r="D46" s="119"/>
      <c r="E46" s="97"/>
      <c r="F46" s="97"/>
      <c r="G46" s="97"/>
      <c r="H46" s="97"/>
      <c r="I46" s="97"/>
      <c r="J46" s="97"/>
      <c r="K46" s="97"/>
      <c r="L46" s="97"/>
      <c r="M46" s="97"/>
      <c r="N46" s="97"/>
      <c r="O46" s="97"/>
    </row>
    <row r="47" spans="1:15" ht="20.25" x14ac:dyDescent="0.25">
      <c r="A47" s="117"/>
      <c r="B47" s="117"/>
      <c r="C47" s="119"/>
      <c r="D47" s="119"/>
      <c r="E47" s="97"/>
      <c r="F47" s="97"/>
      <c r="G47" s="97"/>
      <c r="H47" s="97"/>
      <c r="I47" s="97"/>
      <c r="J47" s="97"/>
      <c r="K47" s="97"/>
      <c r="L47" s="97"/>
      <c r="M47" s="97"/>
      <c r="N47" s="97"/>
      <c r="O47" s="97"/>
    </row>
    <row r="48" spans="1:15" ht="20.25" x14ac:dyDescent="0.25">
      <c r="A48" s="117"/>
      <c r="B48" s="117"/>
      <c r="C48" s="119"/>
      <c r="D48" s="119"/>
      <c r="E48" s="97"/>
      <c r="F48" s="97"/>
      <c r="G48" s="97"/>
      <c r="H48" s="97"/>
      <c r="I48" s="97"/>
      <c r="J48" s="97"/>
      <c r="K48" s="97"/>
      <c r="L48" s="97"/>
      <c r="M48" s="97"/>
      <c r="N48" s="97"/>
      <c r="O48" s="97"/>
    </row>
    <row r="49" spans="1:15" ht="20.25" x14ac:dyDescent="0.25">
      <c r="A49" s="117"/>
      <c r="B49" s="117"/>
      <c r="C49" s="119"/>
      <c r="D49" s="119"/>
      <c r="E49" s="97"/>
      <c r="F49" s="97"/>
      <c r="G49" s="97"/>
      <c r="H49" s="97"/>
      <c r="I49" s="97"/>
      <c r="J49" s="97"/>
      <c r="K49" s="97"/>
      <c r="L49" s="97"/>
      <c r="M49" s="97"/>
      <c r="N49" s="97"/>
      <c r="O49" s="97"/>
    </row>
    <row r="50" spans="1:15" ht="20.25" x14ac:dyDescent="0.25">
      <c r="A50" s="117"/>
      <c r="B50" s="117"/>
      <c r="C50" s="119"/>
      <c r="D50" s="119"/>
      <c r="E50" s="97"/>
      <c r="F50" s="97"/>
      <c r="G50" s="97"/>
      <c r="H50" s="97"/>
      <c r="I50" s="97"/>
      <c r="J50" s="97"/>
      <c r="K50" s="97"/>
      <c r="L50" s="97"/>
      <c r="M50" s="97"/>
      <c r="N50" s="97"/>
      <c r="O50" s="97"/>
    </row>
    <row r="51" spans="1:15" ht="20.25" x14ac:dyDescent="0.25">
      <c r="A51" s="117"/>
      <c r="B51" s="117"/>
      <c r="C51" s="119"/>
      <c r="D51" s="119"/>
      <c r="E51" s="97"/>
      <c r="F51" s="97"/>
      <c r="G51" s="97"/>
      <c r="H51" s="97"/>
      <c r="I51" s="97"/>
      <c r="J51" s="97"/>
      <c r="K51" s="97"/>
      <c r="L51" s="97"/>
      <c r="M51" s="97"/>
      <c r="N51" s="97"/>
      <c r="O51" s="97"/>
    </row>
    <row r="52" spans="1:15" ht="20.25" x14ac:dyDescent="0.25">
      <c r="A52" s="117"/>
      <c r="B52" s="23"/>
      <c r="C52" s="36"/>
      <c r="D52" s="36"/>
    </row>
    <row r="53" spans="1:15" ht="20.25" x14ac:dyDescent="0.25">
      <c r="A53" s="117"/>
      <c r="B53" s="23"/>
      <c r="C53" s="36"/>
      <c r="D53" s="36"/>
    </row>
    <row r="54" spans="1:15" ht="20.25" x14ac:dyDescent="0.25">
      <c r="A54" s="117"/>
      <c r="B54" s="23"/>
      <c r="C54" s="36"/>
      <c r="D54" s="36"/>
    </row>
    <row r="55" spans="1:15" ht="20.25" x14ac:dyDescent="0.25">
      <c r="A55" s="117"/>
      <c r="B55" s="23"/>
      <c r="C55" s="36"/>
      <c r="D55" s="36"/>
    </row>
    <row r="56" spans="1:15" ht="20.25" x14ac:dyDescent="0.25">
      <c r="A56" s="117"/>
      <c r="B56" s="23"/>
      <c r="C56" s="36"/>
      <c r="D56" s="36"/>
    </row>
    <row r="57" spans="1:15" ht="20.25" x14ac:dyDescent="0.25">
      <c r="A57" s="117"/>
      <c r="B57" s="23"/>
      <c r="C57" s="36"/>
      <c r="D57" s="36"/>
    </row>
    <row r="58" spans="1:15" ht="20.25" x14ac:dyDescent="0.25">
      <c r="A58" s="117"/>
      <c r="B58" s="23"/>
      <c r="C58" s="36"/>
      <c r="D58" s="36"/>
    </row>
    <row r="59" spans="1:15" ht="20.25" x14ac:dyDescent="0.25">
      <c r="A59" s="117"/>
      <c r="B59" s="23"/>
      <c r="C59" s="36"/>
      <c r="D59" s="36"/>
    </row>
    <row r="60" spans="1:15" ht="20.25" x14ac:dyDescent="0.25">
      <c r="A60" s="117"/>
      <c r="B60" s="23"/>
      <c r="C60" s="36"/>
      <c r="D60" s="36"/>
    </row>
    <row r="61" spans="1:15" ht="20.25" x14ac:dyDescent="0.25">
      <c r="A61" s="117"/>
      <c r="B61" s="23"/>
      <c r="C61" s="36"/>
      <c r="D61" s="36"/>
    </row>
    <row r="62" spans="1:15" ht="20.25" x14ac:dyDescent="0.25">
      <c r="A62" s="117"/>
      <c r="B62" s="23"/>
      <c r="C62" s="36"/>
      <c r="D62" s="36"/>
    </row>
    <row r="63" spans="1:15" ht="20.25" x14ac:dyDescent="0.25">
      <c r="A63" s="117"/>
      <c r="B63" s="23"/>
      <c r="C63" s="36"/>
      <c r="D63" s="36"/>
    </row>
    <row r="64" spans="1:15" ht="20.25" x14ac:dyDescent="0.25">
      <c r="A64" s="117"/>
      <c r="B64" s="23"/>
      <c r="C64" s="36"/>
      <c r="D64" s="36"/>
    </row>
    <row r="65" spans="1:4" ht="20.25" x14ac:dyDescent="0.25">
      <c r="A65" s="117"/>
      <c r="B65" s="23"/>
      <c r="C65" s="36"/>
      <c r="D65" s="36"/>
    </row>
    <row r="66" spans="1:4" ht="20.25" x14ac:dyDescent="0.25">
      <c r="A66" s="117"/>
      <c r="B66" s="23"/>
      <c r="C66" s="36"/>
      <c r="D66" s="36"/>
    </row>
    <row r="67" spans="1:4" ht="20.25" x14ac:dyDescent="0.25">
      <c r="A67" s="117"/>
      <c r="B67" s="23"/>
      <c r="C67" s="36"/>
      <c r="D67" s="36"/>
    </row>
    <row r="68" spans="1:4" ht="20.25" x14ac:dyDescent="0.25">
      <c r="A68" s="117"/>
      <c r="B68" s="23"/>
      <c r="C68" s="36"/>
      <c r="D68" s="36"/>
    </row>
    <row r="69" spans="1:4" ht="20.25" x14ac:dyDescent="0.25">
      <c r="A69" s="117"/>
      <c r="B69" s="23"/>
      <c r="C69" s="36"/>
      <c r="D69" s="36"/>
    </row>
    <row r="70" spans="1:4" ht="20.25" x14ac:dyDescent="0.25">
      <c r="A70" s="117"/>
      <c r="B70" s="23"/>
      <c r="C70" s="36"/>
      <c r="D70" s="36"/>
    </row>
    <row r="71" spans="1:4" ht="20.25" x14ac:dyDescent="0.25">
      <c r="A71" s="117"/>
      <c r="B71" s="23"/>
      <c r="C71" s="36"/>
      <c r="D71" s="36"/>
    </row>
    <row r="72" spans="1:4" ht="20.25" x14ac:dyDescent="0.25">
      <c r="A72" s="117"/>
      <c r="B72" s="23"/>
      <c r="C72" s="36"/>
      <c r="D72" s="36"/>
    </row>
    <row r="73" spans="1:4" ht="20.25" x14ac:dyDescent="0.25">
      <c r="A73" s="117"/>
      <c r="B73" s="23"/>
      <c r="C73" s="36"/>
      <c r="D73" s="36"/>
    </row>
    <row r="74" spans="1:4" ht="20.25" x14ac:dyDescent="0.25">
      <c r="A74" s="117"/>
      <c r="B74" s="23"/>
      <c r="C74" s="36"/>
      <c r="D74" s="36"/>
    </row>
    <row r="75" spans="1:4" ht="20.25" x14ac:dyDescent="0.25">
      <c r="A75" s="117"/>
      <c r="B75" s="23"/>
      <c r="C75" s="36"/>
      <c r="D75" s="36"/>
    </row>
    <row r="76" spans="1:4" ht="20.25" x14ac:dyDescent="0.25">
      <c r="A76" s="117"/>
      <c r="B76" s="23"/>
      <c r="C76" s="36"/>
      <c r="D76" s="36"/>
    </row>
    <row r="77" spans="1:4" ht="20.25" x14ac:dyDescent="0.25">
      <c r="A77" s="117"/>
      <c r="B77" s="23"/>
      <c r="C77" s="36"/>
      <c r="D77" s="36"/>
    </row>
    <row r="78" spans="1:4" ht="20.25" x14ac:dyDescent="0.25">
      <c r="A78" s="117"/>
      <c r="B78" s="23"/>
      <c r="C78" s="36"/>
      <c r="D78" s="36"/>
    </row>
    <row r="79" spans="1:4" ht="20.25" x14ac:dyDescent="0.25">
      <c r="A79" s="117"/>
      <c r="B79" s="23"/>
      <c r="C79" s="36"/>
      <c r="D79" s="36"/>
    </row>
    <row r="80" spans="1:4" ht="20.25" x14ac:dyDescent="0.25">
      <c r="A80" s="117"/>
      <c r="B80" s="23"/>
      <c r="C80" s="36"/>
      <c r="D80" s="36"/>
    </row>
    <row r="81" spans="1:4" ht="20.25" x14ac:dyDescent="0.25">
      <c r="A81" s="117"/>
      <c r="B81" s="23"/>
      <c r="C81" s="36"/>
      <c r="D81" s="36"/>
    </row>
    <row r="82" spans="1:4" ht="20.25" x14ac:dyDescent="0.25">
      <c r="A82" s="117"/>
      <c r="B82" s="23"/>
      <c r="C82" s="36"/>
      <c r="D82" s="36"/>
    </row>
    <row r="83" spans="1:4" ht="20.25" x14ac:dyDescent="0.25">
      <c r="A83" s="117"/>
      <c r="B83" s="23"/>
      <c r="C83" s="36"/>
      <c r="D83" s="36"/>
    </row>
    <row r="84" spans="1:4" ht="20.25" x14ac:dyDescent="0.25">
      <c r="A84" s="117"/>
      <c r="B84" s="23"/>
      <c r="C84" s="36"/>
      <c r="D84" s="36"/>
    </row>
    <row r="85" spans="1:4" ht="20.25" x14ac:dyDescent="0.25">
      <c r="A85" s="117"/>
      <c r="B85" s="23"/>
      <c r="C85" s="36"/>
      <c r="D85" s="36"/>
    </row>
    <row r="86" spans="1:4" ht="20.25" x14ac:dyDescent="0.25">
      <c r="A86" s="117"/>
      <c r="B86" s="23"/>
      <c r="C86" s="36"/>
      <c r="D86" s="36"/>
    </row>
    <row r="87" spans="1:4" ht="20.25" x14ac:dyDescent="0.25">
      <c r="A87" s="117"/>
      <c r="B87" s="23"/>
      <c r="C87" s="36"/>
      <c r="D87" s="36"/>
    </row>
    <row r="88" spans="1:4" ht="20.25" x14ac:dyDescent="0.25">
      <c r="A88" s="117"/>
      <c r="B88" s="23"/>
      <c r="C88" s="36"/>
      <c r="D88" s="36"/>
    </row>
    <row r="89" spans="1:4" ht="20.25" x14ac:dyDescent="0.25">
      <c r="A89" s="117"/>
      <c r="B89" s="23"/>
      <c r="C89" s="36"/>
      <c r="D89" s="36"/>
    </row>
    <row r="90" spans="1:4" ht="20.25" x14ac:dyDescent="0.25">
      <c r="A90" s="117"/>
      <c r="B90" s="23"/>
      <c r="C90" s="36"/>
      <c r="D90" s="36"/>
    </row>
    <row r="91" spans="1:4" ht="20.25" x14ac:dyDescent="0.25">
      <c r="A91" s="117"/>
      <c r="B91" s="23"/>
      <c r="C91" s="36"/>
      <c r="D91" s="36"/>
    </row>
    <row r="92" spans="1:4" ht="20.25" x14ac:dyDescent="0.25">
      <c r="A92" s="117"/>
      <c r="B92" s="23"/>
      <c r="C92" s="36"/>
      <c r="D92" s="36"/>
    </row>
    <row r="93" spans="1:4" ht="20.25" x14ac:dyDescent="0.25">
      <c r="A93" s="117"/>
      <c r="B93" s="23"/>
      <c r="C93" s="36"/>
      <c r="D93" s="36"/>
    </row>
    <row r="94" spans="1:4" ht="20.25" x14ac:dyDescent="0.25">
      <c r="A94" s="117"/>
      <c r="B94" s="23"/>
      <c r="C94" s="36"/>
      <c r="D94" s="36"/>
    </row>
    <row r="95" spans="1:4" ht="20.25" x14ac:dyDescent="0.25">
      <c r="A95" s="117"/>
      <c r="B95" s="23"/>
      <c r="C95" s="36"/>
      <c r="D95" s="36"/>
    </row>
    <row r="96" spans="1:4" ht="20.25" x14ac:dyDescent="0.25">
      <c r="A96" s="117"/>
      <c r="B96" s="23"/>
      <c r="C96" s="36"/>
      <c r="D96" s="36"/>
    </row>
    <row r="97" spans="1:4" ht="20.25" x14ac:dyDescent="0.25">
      <c r="A97" s="117"/>
      <c r="B97" s="23"/>
      <c r="C97" s="36"/>
      <c r="D97" s="36"/>
    </row>
    <row r="98" spans="1:4" ht="20.25" x14ac:dyDescent="0.25">
      <c r="A98" s="117"/>
      <c r="B98" s="23"/>
      <c r="C98" s="36"/>
      <c r="D98" s="36"/>
    </row>
    <row r="99" spans="1:4" ht="20.25" x14ac:dyDescent="0.25">
      <c r="A99" s="117"/>
      <c r="B99" s="23"/>
      <c r="C99" s="36"/>
      <c r="D99" s="36"/>
    </row>
    <row r="100" spans="1:4" ht="20.25" x14ac:dyDescent="0.25">
      <c r="A100" s="117"/>
      <c r="B100" s="23"/>
      <c r="C100" s="36"/>
      <c r="D100" s="36"/>
    </row>
    <row r="101" spans="1:4" ht="20.25" x14ac:dyDescent="0.25">
      <c r="A101" s="117"/>
      <c r="B101" s="23"/>
      <c r="C101" s="36"/>
      <c r="D101" s="36"/>
    </row>
    <row r="102" spans="1:4" ht="20.25" x14ac:dyDescent="0.25">
      <c r="A102" s="117"/>
      <c r="B102" s="23"/>
      <c r="C102" s="36"/>
      <c r="D102" s="36"/>
    </row>
    <row r="103" spans="1:4" ht="20.25" x14ac:dyDescent="0.25">
      <c r="A103" s="117"/>
      <c r="B103" s="23"/>
      <c r="C103" s="36"/>
      <c r="D103" s="36"/>
    </row>
    <row r="104" spans="1:4" ht="20.25" x14ac:dyDescent="0.25">
      <c r="A104" s="117"/>
      <c r="B104" s="23"/>
      <c r="C104" s="36"/>
      <c r="D104" s="36"/>
    </row>
    <row r="105" spans="1:4" ht="20.25" x14ac:dyDescent="0.25">
      <c r="A105" s="117"/>
      <c r="B105" s="23"/>
      <c r="C105" s="36"/>
      <c r="D105" s="36"/>
    </row>
    <row r="106" spans="1:4" ht="20.25" x14ac:dyDescent="0.25">
      <c r="A106" s="117"/>
      <c r="B106" s="23"/>
      <c r="C106" s="36"/>
      <c r="D106" s="36"/>
    </row>
    <row r="107" spans="1:4" ht="20.25" x14ac:dyDescent="0.25">
      <c r="A107" s="117"/>
      <c r="B107" s="23"/>
      <c r="C107" s="36"/>
      <c r="D107" s="36"/>
    </row>
    <row r="108" spans="1:4" ht="20.25" x14ac:dyDescent="0.25">
      <c r="A108" s="117"/>
      <c r="B108" s="23"/>
      <c r="C108" s="36"/>
      <c r="D108" s="36"/>
    </row>
    <row r="109" spans="1:4" ht="20.25" x14ac:dyDescent="0.25">
      <c r="A109" s="117"/>
      <c r="B109" s="23"/>
      <c r="C109" s="36"/>
      <c r="D109" s="36"/>
    </row>
    <row r="110" spans="1:4" ht="20.25" x14ac:dyDescent="0.25">
      <c r="A110" s="117"/>
      <c r="B110" s="23"/>
      <c r="C110" s="36"/>
      <c r="D110" s="36"/>
    </row>
    <row r="111" spans="1:4" ht="20.25" x14ac:dyDescent="0.25">
      <c r="A111" s="117"/>
      <c r="B111" s="23"/>
      <c r="C111" s="36"/>
      <c r="D111" s="36"/>
    </row>
    <row r="112" spans="1:4" ht="20.25" x14ac:dyDescent="0.25">
      <c r="A112" s="117"/>
      <c r="B112" s="23"/>
      <c r="C112" s="36"/>
      <c r="D112" s="36"/>
    </row>
    <row r="113" spans="1:4" ht="20.25" x14ac:dyDescent="0.25">
      <c r="A113" s="117"/>
      <c r="B113" s="23"/>
      <c r="C113" s="36"/>
      <c r="D113" s="36"/>
    </row>
    <row r="114" spans="1:4" ht="20.25" x14ac:dyDescent="0.25">
      <c r="A114" s="117"/>
      <c r="B114" s="23"/>
      <c r="C114" s="36"/>
      <c r="D114" s="36"/>
    </row>
    <row r="115" spans="1:4" ht="20.25" x14ac:dyDescent="0.25">
      <c r="A115" s="117"/>
      <c r="B115" s="23"/>
      <c r="C115" s="36"/>
      <c r="D115" s="36"/>
    </row>
    <row r="116" spans="1:4" ht="20.25" x14ac:dyDescent="0.25">
      <c r="A116" s="117"/>
      <c r="B116" s="23"/>
      <c r="C116" s="36"/>
      <c r="D116" s="36"/>
    </row>
    <row r="117" spans="1:4" ht="20.25" x14ac:dyDescent="0.25">
      <c r="A117" s="117"/>
      <c r="B117" s="23"/>
      <c r="C117" s="36"/>
      <c r="D117" s="36"/>
    </row>
    <row r="118" spans="1:4" ht="20.25" x14ac:dyDescent="0.25">
      <c r="A118" s="117"/>
      <c r="B118" s="23"/>
      <c r="C118" s="36"/>
      <c r="D118" s="36"/>
    </row>
    <row r="119" spans="1:4" ht="20.25" x14ac:dyDescent="0.25">
      <c r="A119" s="117"/>
      <c r="B119" s="23"/>
      <c r="C119" s="36"/>
      <c r="D119" s="36"/>
    </row>
    <row r="120" spans="1:4" ht="20.25" x14ac:dyDescent="0.25">
      <c r="A120" s="117"/>
      <c r="B120" s="23"/>
      <c r="C120" s="36"/>
      <c r="D120" s="36"/>
    </row>
    <row r="121" spans="1:4" ht="20.25" x14ac:dyDescent="0.25">
      <c r="A121" s="117"/>
      <c r="B121" s="23"/>
      <c r="C121" s="36"/>
      <c r="D121" s="36"/>
    </row>
    <row r="122" spans="1:4" ht="20.25" x14ac:dyDescent="0.25">
      <c r="A122" s="117"/>
      <c r="B122" s="23"/>
      <c r="C122" s="36"/>
      <c r="D122" s="36"/>
    </row>
    <row r="123" spans="1:4" ht="20.25" x14ac:dyDescent="0.25">
      <c r="A123" s="117"/>
      <c r="B123" s="23"/>
      <c r="C123" s="36"/>
      <c r="D123" s="36"/>
    </row>
    <row r="124" spans="1:4" ht="20.25" x14ac:dyDescent="0.25">
      <c r="A124" s="117"/>
      <c r="B124" s="23"/>
      <c r="C124" s="36"/>
      <c r="D124" s="36"/>
    </row>
    <row r="125" spans="1:4" ht="20.25" x14ac:dyDescent="0.25">
      <c r="A125" s="117"/>
      <c r="B125" s="23"/>
      <c r="C125" s="36"/>
      <c r="D125" s="36"/>
    </row>
    <row r="126" spans="1:4" ht="20.25" x14ac:dyDescent="0.25">
      <c r="A126" s="117"/>
      <c r="B126" s="23"/>
      <c r="C126" s="36"/>
      <c r="D126" s="36"/>
    </row>
    <row r="127" spans="1:4" ht="20.25" x14ac:dyDescent="0.25">
      <c r="A127" s="117"/>
      <c r="B127" s="23"/>
      <c r="C127" s="36"/>
      <c r="D127" s="36"/>
    </row>
    <row r="128" spans="1:4" ht="20.25" x14ac:dyDescent="0.25">
      <c r="A128" s="117"/>
      <c r="B128" s="23"/>
      <c r="C128" s="36"/>
      <c r="D128" s="36"/>
    </row>
    <row r="129" spans="1:4" ht="20.25" x14ac:dyDescent="0.25">
      <c r="A129" s="117"/>
      <c r="B129" s="23"/>
      <c r="C129" s="36"/>
      <c r="D129" s="36"/>
    </row>
    <row r="130" spans="1:4" ht="20.25" x14ac:dyDescent="0.25">
      <c r="A130" s="117"/>
      <c r="B130" s="23"/>
      <c r="C130" s="36"/>
      <c r="D130" s="36"/>
    </row>
    <row r="131" spans="1:4" ht="20.25" x14ac:dyDescent="0.25">
      <c r="A131" s="117"/>
      <c r="B131" s="23"/>
      <c r="C131" s="36"/>
      <c r="D131" s="36"/>
    </row>
    <row r="132" spans="1:4" ht="20.25" x14ac:dyDescent="0.25">
      <c r="A132" s="117"/>
      <c r="B132" s="23"/>
      <c r="C132" s="36"/>
      <c r="D132" s="36"/>
    </row>
    <row r="133" spans="1:4" ht="20.25" x14ac:dyDescent="0.25">
      <c r="A133" s="117"/>
      <c r="B133" s="23"/>
      <c r="C133" s="36"/>
      <c r="D133" s="36"/>
    </row>
    <row r="134" spans="1:4" ht="20.25" x14ac:dyDescent="0.25">
      <c r="A134" s="117"/>
      <c r="B134" s="23"/>
      <c r="C134" s="36"/>
      <c r="D134" s="36"/>
    </row>
    <row r="135" spans="1:4" ht="20.25" x14ac:dyDescent="0.25">
      <c r="A135" s="117"/>
      <c r="B135" s="23"/>
      <c r="C135" s="36"/>
      <c r="D135" s="36"/>
    </row>
    <row r="136" spans="1:4" ht="20.25" x14ac:dyDescent="0.25">
      <c r="A136" s="117"/>
      <c r="B136" s="23"/>
      <c r="C136" s="36"/>
      <c r="D136" s="36"/>
    </row>
    <row r="137" spans="1:4" ht="20.25" x14ac:dyDescent="0.25">
      <c r="A137" s="117"/>
      <c r="B137" s="23"/>
      <c r="C137" s="36"/>
      <c r="D137" s="36"/>
    </row>
    <row r="138" spans="1:4" ht="20.25" x14ac:dyDescent="0.25">
      <c r="A138" s="117"/>
      <c r="B138" s="23"/>
      <c r="C138" s="36"/>
      <c r="D138" s="36"/>
    </row>
    <row r="139" spans="1:4" ht="20.25" x14ac:dyDescent="0.25">
      <c r="A139" s="117"/>
      <c r="B139" s="23"/>
      <c r="C139" s="36"/>
      <c r="D139" s="36"/>
    </row>
    <row r="140" spans="1:4" ht="20.25" x14ac:dyDescent="0.25">
      <c r="A140" s="117"/>
      <c r="B140" s="23"/>
      <c r="C140" s="36"/>
      <c r="D140" s="36"/>
    </row>
    <row r="141" spans="1:4" ht="20.25" x14ac:dyDescent="0.25">
      <c r="A141" s="117"/>
      <c r="B141" s="23"/>
      <c r="C141" s="36"/>
      <c r="D141" s="36"/>
    </row>
    <row r="142" spans="1:4" ht="20.25" x14ac:dyDescent="0.25">
      <c r="A142" s="117"/>
      <c r="B142" s="23"/>
      <c r="C142" s="36"/>
      <c r="D142" s="36"/>
    </row>
    <row r="143" spans="1:4" ht="20.25" x14ac:dyDescent="0.25">
      <c r="A143" s="117"/>
      <c r="B143" s="23"/>
      <c r="C143" s="36"/>
      <c r="D143" s="36"/>
    </row>
    <row r="144" spans="1:4" ht="20.25" x14ac:dyDescent="0.25">
      <c r="A144" s="117"/>
      <c r="B144" s="23"/>
      <c r="C144" s="36"/>
      <c r="D144" s="36"/>
    </row>
    <row r="145" spans="1:4" ht="20.25" x14ac:dyDescent="0.25">
      <c r="A145" s="117"/>
      <c r="B145" s="23"/>
      <c r="C145" s="36"/>
      <c r="D145" s="36"/>
    </row>
    <row r="146" spans="1:4" ht="20.25" x14ac:dyDescent="0.25">
      <c r="A146" s="117"/>
      <c r="B146" s="23"/>
      <c r="C146" s="36"/>
      <c r="D146" s="36"/>
    </row>
    <row r="147" spans="1:4" ht="20.25" x14ac:dyDescent="0.25">
      <c r="A147" s="117"/>
      <c r="B147" s="23"/>
      <c r="C147" s="36"/>
      <c r="D147" s="36"/>
    </row>
    <row r="148" spans="1:4" ht="20.25" x14ac:dyDescent="0.25">
      <c r="A148" s="117"/>
      <c r="B148" s="23"/>
      <c r="C148" s="36"/>
      <c r="D148" s="36"/>
    </row>
    <row r="149" spans="1:4" ht="20.25" x14ac:dyDescent="0.25">
      <c r="A149" s="117"/>
      <c r="B149" s="23"/>
      <c r="C149" s="36"/>
      <c r="D149" s="36"/>
    </row>
    <row r="150" spans="1:4" ht="20.25" x14ac:dyDescent="0.25">
      <c r="A150" s="117"/>
      <c r="B150" s="23"/>
      <c r="C150" s="36"/>
      <c r="D150" s="36"/>
    </row>
    <row r="151" spans="1:4" ht="20.25" x14ac:dyDescent="0.25">
      <c r="A151" s="117"/>
      <c r="B151" s="23"/>
      <c r="C151" s="36"/>
      <c r="D151" s="36"/>
    </row>
    <row r="152" spans="1:4" ht="20.25" x14ac:dyDescent="0.25">
      <c r="A152" s="117"/>
      <c r="B152" s="23"/>
      <c r="C152" s="36"/>
      <c r="D152" s="36"/>
    </row>
    <row r="153" spans="1:4" ht="20.25" x14ac:dyDescent="0.25">
      <c r="A153" s="117"/>
      <c r="B153" s="23"/>
      <c r="C153" s="36"/>
      <c r="D153" s="36"/>
    </row>
    <row r="154" spans="1:4" ht="20.25" x14ac:dyDescent="0.25">
      <c r="A154" s="117"/>
      <c r="B154" s="23"/>
      <c r="C154" s="36"/>
      <c r="D154" s="36"/>
    </row>
    <row r="155" spans="1:4" ht="20.25" x14ac:dyDescent="0.25">
      <c r="A155" s="117"/>
      <c r="B155" s="23"/>
      <c r="C155" s="36"/>
      <c r="D155" s="36"/>
    </row>
    <row r="156" spans="1:4" ht="20.25" x14ac:dyDescent="0.25">
      <c r="A156" s="117"/>
      <c r="B156" s="23"/>
      <c r="C156" s="36"/>
      <c r="D156" s="36"/>
    </row>
    <row r="157" spans="1:4" ht="20.25" x14ac:dyDescent="0.25">
      <c r="A157" s="117"/>
      <c r="B157" s="23"/>
      <c r="C157" s="36"/>
      <c r="D157" s="36"/>
    </row>
    <row r="158" spans="1:4" ht="20.25" x14ac:dyDescent="0.25">
      <c r="A158" s="117"/>
      <c r="B158" s="23"/>
      <c r="C158" s="36"/>
      <c r="D158" s="36"/>
    </row>
    <row r="159" spans="1:4" ht="20.25" x14ac:dyDescent="0.25">
      <c r="A159" s="117"/>
      <c r="B159" s="23"/>
      <c r="C159" s="36"/>
      <c r="D159" s="36"/>
    </row>
    <row r="160" spans="1:4" ht="20.25" x14ac:dyDescent="0.25">
      <c r="A160" s="117"/>
      <c r="B160" s="23"/>
      <c r="C160" s="36"/>
      <c r="D160" s="36"/>
    </row>
    <row r="161" spans="1:4" ht="20.25" x14ac:dyDescent="0.25">
      <c r="A161" s="117"/>
      <c r="B161" s="23"/>
      <c r="C161" s="36"/>
      <c r="D161" s="36"/>
    </row>
    <row r="162" spans="1:4" ht="20.25" x14ac:dyDescent="0.25">
      <c r="A162" s="117"/>
      <c r="B162" s="23"/>
      <c r="C162" s="36"/>
      <c r="D162" s="36"/>
    </row>
    <row r="163" spans="1:4" ht="20.25" x14ac:dyDescent="0.25">
      <c r="A163" s="117"/>
      <c r="B163" s="23"/>
      <c r="C163" s="36"/>
      <c r="D163" s="36"/>
    </row>
    <row r="164" spans="1:4" ht="20.25" x14ac:dyDescent="0.25">
      <c r="A164" s="117"/>
      <c r="B164" s="23"/>
      <c r="C164" s="36"/>
      <c r="D164" s="36"/>
    </row>
    <row r="165" spans="1:4" ht="20.25" x14ac:dyDescent="0.25">
      <c r="A165" s="117"/>
      <c r="B165" s="23"/>
      <c r="C165" s="36"/>
      <c r="D165" s="36"/>
    </row>
    <row r="166" spans="1:4" ht="20.25" x14ac:dyDescent="0.25">
      <c r="A166" s="117"/>
      <c r="B166" s="23"/>
      <c r="C166" s="36"/>
      <c r="D166" s="36"/>
    </row>
    <row r="167" spans="1:4" ht="20.25" x14ac:dyDescent="0.25">
      <c r="A167" s="117"/>
      <c r="B167" s="23"/>
      <c r="C167" s="36"/>
      <c r="D167" s="36"/>
    </row>
    <row r="168" spans="1:4" ht="20.25" x14ac:dyDescent="0.25">
      <c r="A168" s="117"/>
      <c r="B168" s="23"/>
      <c r="C168" s="36"/>
      <c r="D168" s="36"/>
    </row>
    <row r="169" spans="1:4" ht="20.25" x14ac:dyDescent="0.25">
      <c r="A169" s="117"/>
      <c r="B169" s="23"/>
      <c r="C169" s="36"/>
      <c r="D169" s="36"/>
    </row>
    <row r="170" spans="1:4" ht="20.25" x14ac:dyDescent="0.25">
      <c r="A170" s="117"/>
      <c r="B170" s="23"/>
      <c r="C170" s="36"/>
      <c r="D170" s="36"/>
    </row>
    <row r="171" spans="1:4" ht="20.25" x14ac:dyDescent="0.25">
      <c r="A171" s="117"/>
      <c r="B171" s="23"/>
      <c r="C171" s="36"/>
      <c r="D171" s="36"/>
    </row>
    <row r="172" spans="1:4" ht="20.25" x14ac:dyDescent="0.25">
      <c r="A172" s="117"/>
      <c r="B172" s="23"/>
      <c r="C172" s="36"/>
      <c r="D172" s="36"/>
    </row>
    <row r="173" spans="1:4" ht="20.25" x14ac:dyDescent="0.25">
      <c r="A173" s="117"/>
      <c r="B173" s="23"/>
      <c r="C173" s="36"/>
      <c r="D173" s="36"/>
    </row>
    <row r="174" spans="1:4" ht="20.25" x14ac:dyDescent="0.25">
      <c r="A174" s="117"/>
      <c r="B174" s="23"/>
      <c r="C174" s="36"/>
      <c r="D174" s="36"/>
    </row>
    <row r="175" spans="1:4" ht="20.25" x14ac:dyDescent="0.25">
      <c r="A175" s="117"/>
      <c r="B175" s="23"/>
      <c r="C175" s="36"/>
      <c r="D175" s="36"/>
    </row>
    <row r="176" spans="1:4" ht="20.25" x14ac:dyDescent="0.25">
      <c r="A176" s="117"/>
      <c r="B176" s="23"/>
      <c r="C176" s="36"/>
      <c r="D176" s="36"/>
    </row>
    <row r="177" spans="1:4" ht="20.25" x14ac:dyDescent="0.25">
      <c r="A177" s="117"/>
      <c r="B177" s="23"/>
      <c r="C177" s="36"/>
      <c r="D177" s="36"/>
    </row>
    <row r="178" spans="1:4" ht="20.25" x14ac:dyDescent="0.25">
      <c r="A178" s="117"/>
      <c r="B178" s="23"/>
      <c r="C178" s="36"/>
      <c r="D178" s="36"/>
    </row>
    <row r="179" spans="1:4" ht="20.25" x14ac:dyDescent="0.25">
      <c r="A179" s="117"/>
      <c r="B179" s="23"/>
      <c r="C179" s="36"/>
      <c r="D179" s="36"/>
    </row>
    <row r="180" spans="1:4" ht="20.25" x14ac:dyDescent="0.25">
      <c r="A180" s="117"/>
      <c r="B180" s="23"/>
      <c r="C180" s="36"/>
      <c r="D180" s="36"/>
    </row>
    <row r="181" spans="1:4" ht="20.25" x14ac:dyDescent="0.25">
      <c r="A181" s="117"/>
      <c r="B181" s="23"/>
      <c r="C181" s="36"/>
      <c r="D181" s="36"/>
    </row>
    <row r="182" spans="1:4" ht="20.25" x14ac:dyDescent="0.25">
      <c r="A182" s="117"/>
      <c r="B182" s="23"/>
      <c r="C182" s="36"/>
      <c r="D182" s="36"/>
    </row>
    <row r="183" spans="1:4" ht="20.25" x14ac:dyDescent="0.25">
      <c r="A183" s="117"/>
      <c r="B183" s="23"/>
      <c r="C183" s="36"/>
      <c r="D183" s="36"/>
    </row>
    <row r="184" spans="1:4" ht="20.25" x14ac:dyDescent="0.25">
      <c r="A184" s="117"/>
      <c r="B184" s="23"/>
      <c r="C184" s="36"/>
      <c r="D184" s="36"/>
    </row>
    <row r="185" spans="1:4" ht="20.25" x14ac:dyDescent="0.25">
      <c r="A185" s="117"/>
      <c r="B185" s="23"/>
      <c r="C185" s="36"/>
      <c r="D185" s="36"/>
    </row>
    <row r="186" spans="1:4" ht="20.25" x14ac:dyDescent="0.25">
      <c r="A186" s="117"/>
      <c r="B186" s="23"/>
      <c r="C186" s="36"/>
      <c r="D186" s="36"/>
    </row>
    <row r="187" spans="1:4" ht="20.25" x14ac:dyDescent="0.25">
      <c r="A187" s="117"/>
      <c r="B187" s="23"/>
      <c r="C187" s="36"/>
      <c r="D187" s="36"/>
    </row>
    <row r="188" spans="1:4" ht="20.25" x14ac:dyDescent="0.25">
      <c r="A188" s="117"/>
      <c r="B188" s="23"/>
      <c r="C188" s="36"/>
      <c r="D188" s="36"/>
    </row>
    <row r="189" spans="1:4" ht="20.25" x14ac:dyDescent="0.25">
      <c r="A189" s="117"/>
      <c r="B189" s="23"/>
      <c r="C189" s="36"/>
      <c r="D189" s="36"/>
    </row>
    <row r="190" spans="1:4" ht="20.25" x14ac:dyDescent="0.25">
      <c r="A190" s="117"/>
      <c r="B190" s="23"/>
      <c r="C190" s="36"/>
      <c r="D190" s="36"/>
    </row>
    <row r="191" spans="1:4" ht="20.25" x14ac:dyDescent="0.25">
      <c r="A191" s="117"/>
      <c r="B191" s="23"/>
      <c r="C191" s="36"/>
      <c r="D191" s="36"/>
    </row>
    <row r="192" spans="1:4" ht="20.25" x14ac:dyDescent="0.25">
      <c r="A192" s="117"/>
      <c r="B192" s="23"/>
      <c r="C192" s="36"/>
      <c r="D192" s="36"/>
    </row>
    <row r="193" spans="1:4" ht="20.25" x14ac:dyDescent="0.25">
      <c r="A193" s="117"/>
      <c r="B193" s="23"/>
      <c r="C193" s="36"/>
      <c r="D193" s="36"/>
    </row>
    <row r="194" spans="1:4" ht="20.25" x14ac:dyDescent="0.25">
      <c r="A194" s="117"/>
      <c r="B194" s="23"/>
      <c r="C194" s="36"/>
      <c r="D194" s="36"/>
    </row>
    <row r="195" spans="1:4" ht="20.25" x14ac:dyDescent="0.25">
      <c r="A195" s="117"/>
      <c r="B195" s="23"/>
      <c r="C195" s="36"/>
      <c r="D195" s="36"/>
    </row>
    <row r="196" spans="1:4" ht="20.25" x14ac:dyDescent="0.25">
      <c r="A196" s="117"/>
      <c r="B196" s="23"/>
      <c r="C196" s="36"/>
      <c r="D196" s="36"/>
    </row>
    <row r="197" spans="1:4" ht="20.25" x14ac:dyDescent="0.25">
      <c r="A197" s="117"/>
      <c r="B197" s="23"/>
      <c r="C197" s="36"/>
      <c r="D197" s="36"/>
    </row>
    <row r="198" spans="1:4" ht="20.25" x14ac:dyDescent="0.25">
      <c r="A198" s="117"/>
      <c r="B198" s="23"/>
      <c r="C198" s="36"/>
      <c r="D198" s="36"/>
    </row>
    <row r="199" spans="1:4" ht="20.25" x14ac:dyDescent="0.25">
      <c r="A199" s="117"/>
      <c r="B199" s="23"/>
      <c r="C199" s="36"/>
      <c r="D199" s="36"/>
    </row>
    <row r="200" spans="1:4" ht="20.25" x14ac:dyDescent="0.25">
      <c r="A200" s="117"/>
      <c r="B200" s="23"/>
      <c r="C200" s="36"/>
      <c r="D200" s="36"/>
    </row>
    <row r="201" spans="1:4" ht="20.25" x14ac:dyDescent="0.25">
      <c r="A201" s="117"/>
      <c r="B201" s="23"/>
      <c r="C201" s="36"/>
      <c r="D201" s="36"/>
    </row>
    <row r="202" spans="1:4" ht="20.25" x14ac:dyDescent="0.25">
      <c r="A202" s="117"/>
      <c r="B202" s="23"/>
      <c r="C202" s="36"/>
      <c r="D202" s="36"/>
    </row>
    <row r="203" spans="1:4" ht="20.25" x14ac:dyDescent="0.25">
      <c r="A203" s="117"/>
      <c r="B203" s="23"/>
      <c r="C203" s="36"/>
      <c r="D203" s="36"/>
    </row>
    <row r="204" spans="1:4" ht="20.25" x14ac:dyDescent="0.25">
      <c r="A204" s="117"/>
      <c r="B204" s="23"/>
      <c r="C204" s="36"/>
      <c r="D204" s="36"/>
    </row>
    <row r="205" spans="1:4" ht="20.25" x14ac:dyDescent="0.25">
      <c r="A205" s="117"/>
      <c r="B205" s="23"/>
      <c r="C205" s="36"/>
      <c r="D205" s="36"/>
    </row>
    <row r="206" spans="1:4" ht="20.25" x14ac:dyDescent="0.25">
      <c r="A206" s="117"/>
      <c r="B206" s="23"/>
      <c r="C206" s="36"/>
      <c r="D206" s="36"/>
    </row>
    <row r="207" spans="1:4" ht="20.25" x14ac:dyDescent="0.25">
      <c r="A207" s="117"/>
      <c r="B207" s="23"/>
      <c r="C207" s="36"/>
      <c r="D207" s="36"/>
    </row>
    <row r="208" spans="1:4" x14ac:dyDescent="0.25">
      <c r="A208" s="97"/>
      <c r="B208" s="23"/>
      <c r="C208" s="23"/>
      <c r="D208" s="23"/>
    </row>
    <row r="209" spans="1:8" ht="20.25" x14ac:dyDescent="0.25">
      <c r="A209" s="97"/>
      <c r="B209" s="32" t="s">
        <v>88</v>
      </c>
      <c r="C209" s="32" t="s">
        <v>145</v>
      </c>
      <c r="D209" s="35" t="s">
        <v>88</v>
      </c>
      <c r="E209" s="35" t="s">
        <v>145</v>
      </c>
    </row>
    <row r="210" spans="1:8" ht="21" x14ac:dyDescent="0.35">
      <c r="A210" s="97"/>
      <c r="B210" s="33" t="s">
        <v>90</v>
      </c>
      <c r="C210" s="33"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97"/>
      <c r="B211" s="33" t="s">
        <v>90</v>
      </c>
      <c r="C211" s="33" t="s">
        <v>93</v>
      </c>
      <c r="E211" t="s">
        <v>58</v>
      </c>
      <c r="F211" t="str">
        <f t="shared" ref="F211:F221" si="0">IF(NOT(ISBLANK(D211)),D211,IF(NOT(ISBLANK(E211)),"     "&amp;E211,FALSE))</f>
        <v xml:space="preserve">     Afectación menor a 10 SMLMV .</v>
      </c>
    </row>
    <row r="212" spans="1:8" ht="21" x14ac:dyDescent="0.35">
      <c r="A212" s="97"/>
      <c r="B212" s="33" t="s">
        <v>90</v>
      </c>
      <c r="C212" s="33" t="s">
        <v>94</v>
      </c>
      <c r="E212" t="s">
        <v>93</v>
      </c>
      <c r="F212" t="str">
        <f t="shared" si="0"/>
        <v xml:space="preserve">     Entre 10 y 50 SMLMV </v>
      </c>
    </row>
    <row r="213" spans="1:8" ht="21" x14ac:dyDescent="0.35">
      <c r="A213" s="97"/>
      <c r="B213" s="33" t="s">
        <v>90</v>
      </c>
      <c r="C213" s="33" t="s">
        <v>95</v>
      </c>
      <c r="E213" t="s">
        <v>94</v>
      </c>
      <c r="F213" t="str">
        <f t="shared" si="0"/>
        <v xml:space="preserve">     Entre 50 y 100 SMLMV </v>
      </c>
    </row>
    <row r="214" spans="1:8" ht="21" x14ac:dyDescent="0.35">
      <c r="A214" s="97"/>
      <c r="B214" s="33" t="s">
        <v>90</v>
      </c>
      <c r="C214" s="33" t="s">
        <v>96</v>
      </c>
      <c r="E214" t="s">
        <v>95</v>
      </c>
      <c r="F214" t="str">
        <f t="shared" si="0"/>
        <v xml:space="preserve">     Entre 100 y 500 SMLMV </v>
      </c>
    </row>
    <row r="215" spans="1:8" ht="21" x14ac:dyDescent="0.35">
      <c r="A215" s="97"/>
      <c r="B215" s="33" t="s">
        <v>57</v>
      </c>
      <c r="C215" s="33" t="s">
        <v>97</v>
      </c>
      <c r="E215" t="s">
        <v>96</v>
      </c>
      <c r="F215" t="str">
        <f t="shared" si="0"/>
        <v xml:space="preserve">     Mayor a 500 SMLMV </v>
      </c>
    </row>
    <row r="216" spans="1:8" ht="21" x14ac:dyDescent="0.35">
      <c r="A216" s="97"/>
      <c r="B216" s="33" t="s">
        <v>57</v>
      </c>
      <c r="C216" s="33" t="s">
        <v>98</v>
      </c>
      <c r="D216" t="s">
        <v>57</v>
      </c>
      <c r="F216" t="str">
        <f t="shared" si="0"/>
        <v>Pérdida Reputacional</v>
      </c>
    </row>
    <row r="217" spans="1:8" ht="21" x14ac:dyDescent="0.35">
      <c r="A217" s="97"/>
      <c r="B217" s="33" t="s">
        <v>57</v>
      </c>
      <c r="C217" s="33" t="s">
        <v>100</v>
      </c>
      <c r="E217" t="s">
        <v>97</v>
      </c>
      <c r="F217" t="str">
        <f t="shared" si="0"/>
        <v xml:space="preserve">     El riesgo afecta la imagen de alguna área de la organización</v>
      </c>
    </row>
    <row r="218" spans="1:8" ht="21" x14ac:dyDescent="0.35">
      <c r="A218" s="97"/>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7"/>
      <c r="B219" s="33" t="s">
        <v>57</v>
      </c>
      <c r="C219" s="33" t="s">
        <v>118</v>
      </c>
      <c r="E219" t="s">
        <v>100</v>
      </c>
      <c r="F219" t="str">
        <f t="shared" si="0"/>
        <v xml:space="preserve">     El riesgo afecta la imagen de la entidad con algunos usuarios de relevancia frente al logro de los objetivos</v>
      </c>
    </row>
    <row r="220" spans="1:8" x14ac:dyDescent="0.25">
      <c r="A220" s="97"/>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7"/>
      <c r="B221" s="34" t="str" cm="1">
        <f t="array" ref="B221:B223">_xlfn.UNIQUE(Tabla1[[#All],[Criterios]])</f>
        <v>Criterios</v>
      </c>
      <c r="C221" s="34"/>
      <c r="E221" t="s">
        <v>118</v>
      </c>
      <c r="F221" t="str">
        <f t="shared" si="0"/>
        <v xml:space="preserve">     El riesgo afecta la imagen de la entidad a nivel nacional, con efecto publicitarios sostenible a nivel país</v>
      </c>
    </row>
    <row r="222" spans="1:8" x14ac:dyDescent="0.25">
      <c r="A222" s="97"/>
      <c r="B222" s="34" t="str">
        <v>Afectación Económica o presupuestal</v>
      </c>
      <c r="C222" s="34"/>
    </row>
    <row r="223" spans="1:8" x14ac:dyDescent="0.25">
      <c r="B223" s="34" t="str">
        <v>Pérdida Reputacional</v>
      </c>
      <c r="C223" s="34"/>
      <c r="F223" s="37" t="s">
        <v>147</v>
      </c>
    </row>
    <row r="224" spans="1:8" x14ac:dyDescent="0.25">
      <c r="B224" s="22"/>
      <c r="C224" s="22"/>
      <c r="F224" s="37"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E9" sqref="E9"/>
    </sheetView>
  </sheetViews>
  <sheetFormatPr baseColWidth="10" defaultColWidth="14.28515625" defaultRowHeight="12.75" x14ac:dyDescent="0.2"/>
  <cols>
    <col min="1" max="2" width="14.28515625" style="102"/>
    <col min="3" max="3" width="17" style="102" customWidth="1"/>
    <col min="4" max="4" width="14.28515625" style="102"/>
    <col min="5" max="5" width="46" style="102" customWidth="1"/>
    <col min="6" max="16384" width="14.28515625" style="102"/>
  </cols>
  <sheetData>
    <row r="1" spans="2:6" ht="24" customHeight="1" thickBot="1" x14ac:dyDescent="0.25">
      <c r="B1" s="383" t="s">
        <v>78</v>
      </c>
      <c r="C1" s="384"/>
      <c r="D1" s="384"/>
      <c r="E1" s="384"/>
      <c r="F1" s="385"/>
    </row>
    <row r="2" spans="2:6" ht="16.5" thickBot="1" x14ac:dyDescent="0.3">
      <c r="B2" s="103"/>
      <c r="C2" s="103"/>
      <c r="D2" s="103"/>
      <c r="E2" s="103"/>
      <c r="F2" s="103"/>
    </row>
    <row r="3" spans="2:6" ht="16.5" thickBot="1" x14ac:dyDescent="0.25">
      <c r="B3" s="387" t="s">
        <v>64</v>
      </c>
      <c r="C3" s="388"/>
      <c r="D3" s="388"/>
      <c r="E3" s="115" t="s">
        <v>65</v>
      </c>
      <c r="F3" s="116" t="s">
        <v>66</v>
      </c>
    </row>
    <row r="4" spans="2:6" ht="31.5" x14ac:dyDescent="0.2">
      <c r="B4" s="389" t="s">
        <v>67</v>
      </c>
      <c r="C4" s="391" t="s">
        <v>13</v>
      </c>
      <c r="D4" s="104" t="s">
        <v>14</v>
      </c>
      <c r="E4" s="105" t="s">
        <v>68</v>
      </c>
      <c r="F4" s="106">
        <v>0.25</v>
      </c>
    </row>
    <row r="5" spans="2:6" ht="47.25" x14ac:dyDescent="0.2">
      <c r="B5" s="390"/>
      <c r="C5" s="392"/>
      <c r="D5" s="107" t="s">
        <v>15</v>
      </c>
      <c r="E5" s="108" t="s">
        <v>69</v>
      </c>
      <c r="F5" s="109">
        <v>0.15</v>
      </c>
    </row>
    <row r="6" spans="2:6" ht="47.25" x14ac:dyDescent="0.2">
      <c r="B6" s="390"/>
      <c r="C6" s="392"/>
      <c r="D6" s="107" t="s">
        <v>16</v>
      </c>
      <c r="E6" s="108" t="s">
        <v>70</v>
      </c>
      <c r="F6" s="109">
        <v>0.1</v>
      </c>
    </row>
    <row r="7" spans="2:6" ht="63" x14ac:dyDescent="0.2">
      <c r="B7" s="390"/>
      <c r="C7" s="392" t="s">
        <v>17</v>
      </c>
      <c r="D7" s="107" t="s">
        <v>10</v>
      </c>
      <c r="E7" s="108" t="s">
        <v>71</v>
      </c>
      <c r="F7" s="109">
        <v>0.25</v>
      </c>
    </row>
    <row r="8" spans="2:6" ht="31.5" x14ac:dyDescent="0.2">
      <c r="B8" s="390"/>
      <c r="C8" s="392"/>
      <c r="D8" s="107" t="s">
        <v>9</v>
      </c>
      <c r="E8" s="108" t="s">
        <v>72</v>
      </c>
      <c r="F8" s="109">
        <v>0.15</v>
      </c>
    </row>
    <row r="9" spans="2:6" ht="47.25" x14ac:dyDescent="0.2">
      <c r="B9" s="390" t="s">
        <v>162</v>
      </c>
      <c r="C9" s="392" t="s">
        <v>18</v>
      </c>
      <c r="D9" s="107" t="s">
        <v>19</v>
      </c>
      <c r="E9" s="108" t="s">
        <v>73</v>
      </c>
      <c r="F9" s="110" t="s">
        <v>74</v>
      </c>
    </row>
    <row r="10" spans="2:6" ht="63" x14ac:dyDescent="0.2">
      <c r="B10" s="390"/>
      <c r="C10" s="392"/>
      <c r="D10" s="107" t="s">
        <v>20</v>
      </c>
      <c r="E10" s="108" t="s">
        <v>75</v>
      </c>
      <c r="F10" s="110" t="s">
        <v>74</v>
      </c>
    </row>
    <row r="11" spans="2:6" ht="47.25" x14ac:dyDescent="0.2">
      <c r="B11" s="390"/>
      <c r="C11" s="392" t="s">
        <v>21</v>
      </c>
      <c r="D11" s="107" t="s">
        <v>22</v>
      </c>
      <c r="E11" s="108" t="s">
        <v>76</v>
      </c>
      <c r="F11" s="110" t="s">
        <v>74</v>
      </c>
    </row>
    <row r="12" spans="2:6" ht="47.25" x14ac:dyDescent="0.2">
      <c r="B12" s="390"/>
      <c r="C12" s="392"/>
      <c r="D12" s="107" t="s">
        <v>23</v>
      </c>
      <c r="E12" s="108" t="s">
        <v>77</v>
      </c>
      <c r="F12" s="110" t="s">
        <v>74</v>
      </c>
    </row>
    <row r="13" spans="2:6" ht="31.5" x14ac:dyDescent="0.2">
      <c r="B13" s="390"/>
      <c r="C13" s="392" t="s">
        <v>24</v>
      </c>
      <c r="D13" s="107" t="s">
        <v>119</v>
      </c>
      <c r="E13" s="108" t="s">
        <v>122</v>
      </c>
      <c r="F13" s="110" t="s">
        <v>74</v>
      </c>
    </row>
    <row r="14" spans="2:6" ht="32.25" thickBot="1" x14ac:dyDescent="0.25">
      <c r="B14" s="393"/>
      <c r="C14" s="394"/>
      <c r="D14" s="111" t="s">
        <v>120</v>
      </c>
      <c r="E14" s="112" t="s">
        <v>121</v>
      </c>
      <c r="F14" s="113" t="s">
        <v>74</v>
      </c>
    </row>
    <row r="15" spans="2:6" ht="49.5" customHeight="1" x14ac:dyDescent="0.2">
      <c r="B15" s="386" t="s">
        <v>159</v>
      </c>
      <c r="C15" s="386"/>
      <c r="D15" s="386"/>
      <c r="E15" s="386"/>
      <c r="F15" s="386"/>
    </row>
    <row r="16" spans="2:6" ht="27" customHeight="1" x14ac:dyDescent="0.25">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Yesenia Zambrano</cp:lastModifiedBy>
  <cp:lastPrinted>2023-01-10T23:49:39Z</cp:lastPrinted>
  <dcterms:created xsi:type="dcterms:W3CDTF">2020-03-24T23:12:47Z</dcterms:created>
  <dcterms:modified xsi:type="dcterms:W3CDTF">2023-08-14T21:47:55Z</dcterms:modified>
</cp:coreProperties>
</file>