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G:\Mi unidad\SNCHI CALIDAD\1. MIPG\Plan Anticorrupción y de Atención al Ciudadano\2023\"/>
    </mc:Choice>
  </mc:AlternateContent>
  <xr:revisionPtr revIDLastSave="0" documentId="13_ncr:1_{F41AA1C9-4703-4254-A336-9A185D00D84F}" xr6:coauthVersionLast="47" xr6:coauthVersionMax="47" xr10:uidLastSave="{00000000-0000-0000-0000-000000000000}"/>
  <bookViews>
    <workbookView xWindow="-120" yWindow="-120" windowWidth="29040" windowHeight="1572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0" i="1" l="1"/>
  <c r="Q10" i="1"/>
  <c r="H10" i="1"/>
  <c r="I10" i="1" s="1"/>
  <c r="K21" i="1"/>
  <c r="K49" i="1"/>
  <c r="K68" i="1"/>
  <c r="K60" i="1"/>
  <c r="K35" i="1"/>
  <c r="K45" i="1"/>
  <c r="K43" i="1"/>
  <c r="K30" i="1"/>
  <c r="K65" i="1"/>
  <c r="K24" i="1"/>
  <c r="K32" i="1"/>
  <c r="K55" i="1"/>
  <c r="K26" i="1"/>
  <c r="K20" i="1"/>
  <c r="K61" i="1"/>
  <c r="K42" i="1"/>
  <c r="K27" i="1"/>
  <c r="K51" i="1"/>
  <c r="K50" i="1"/>
  <c r="K31" i="1"/>
  <c r="K29" i="1"/>
  <c r="K63" i="1"/>
  <c r="K48" i="1"/>
  <c r="K39" i="1"/>
  <c r="K38" i="1"/>
  <c r="K41" i="1"/>
  <c r="K67" i="1"/>
  <c r="K53" i="1"/>
  <c r="K54" i="1"/>
  <c r="K66" i="1"/>
  <c r="K37" i="1"/>
  <c r="K56" i="1"/>
  <c r="K19" i="1"/>
  <c r="K25" i="1"/>
  <c r="K57" i="1"/>
  <c r="K44" i="1"/>
  <c r="K69" i="1"/>
  <c r="K59" i="1"/>
  <c r="K18" i="1"/>
  <c r="K33" i="1"/>
  <c r="K36" i="1"/>
  <c r="K17" i="1"/>
  <c r="K47" i="1"/>
  <c r="K62" i="1"/>
  <c r="K23" i="1"/>
  <c r="F221" i="13" l="1"/>
  <c r="F211" i="13"/>
  <c r="F212" i="13"/>
  <c r="F213" i="13"/>
  <c r="F214" i="13"/>
  <c r="F215" i="13"/>
  <c r="F216" i="13"/>
  <c r="F217" i="13"/>
  <c r="F218" i="13"/>
  <c r="F219" i="13"/>
  <c r="F220" i="13"/>
  <c r="F210" i="13"/>
  <c r="B221" i="13" a="1"/>
  <c r="K14" i="1"/>
  <c r="K12" i="1"/>
  <c r="K11" i="1"/>
  <c r="K15" i="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X32" i="1" s="1"/>
  <c r="Y32" i="1" s="1"/>
  <c r="Z18" i="1"/>
  <c r="X19" i="1" s="1"/>
  <c r="Y19" i="1" s="1"/>
  <c r="Q12" i="1"/>
  <c r="Z32" i="1" l="1"/>
  <c r="X33" i="1" s="1"/>
  <c r="Y33" i="1" s="1"/>
  <c r="Y37" i="1"/>
  <c r="Y63" i="1"/>
  <c r="Z63" i="1"/>
  <c r="Y62" i="1"/>
  <c r="Z62" i="1"/>
  <c r="Y57" i="1"/>
  <c r="Z57" i="1"/>
  <c r="X68" i="1"/>
  <c r="X69" i="1"/>
  <c r="Z44" i="1"/>
  <c r="X45" i="1" s="1"/>
  <c r="Y45" i="1" s="1"/>
  <c r="Z38" i="1"/>
  <c r="X39" i="1" s="1"/>
  <c r="Y38" i="1"/>
  <c r="Y26" i="1"/>
  <c r="Z26" i="1"/>
  <c r="X27" i="1" s="1"/>
  <c r="Y27" i="1" s="1"/>
  <c r="Z19" i="1"/>
  <c r="X20" i="1" s="1"/>
  <c r="Z20" i="1" s="1"/>
  <c r="X21" i="1" s="1"/>
  <c r="X10" i="1"/>
  <c r="Y10" i="1" s="1"/>
  <c r="Z33" i="1" l="1"/>
  <c r="Y69" i="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K40" i="1" l="1"/>
  <c r="L40" i="1" s="1"/>
  <c r="K28" i="1"/>
  <c r="L28" i="1" s="1"/>
  <c r="K22" i="1"/>
  <c r="L22" i="1" s="1"/>
  <c r="K52" i="1"/>
  <c r="L52" i="1" s="1"/>
  <c r="K46" i="1"/>
  <c r="L46" i="1" s="1"/>
  <c r="K34" i="1"/>
  <c r="L34" i="1" s="1"/>
  <c r="K64" i="1"/>
  <c r="L64" i="1" s="1"/>
  <c r="K58" i="1"/>
  <c r="L58" i="1" s="1"/>
  <c r="K10" i="1"/>
  <c r="L10" i="1" s="1"/>
  <c r="K16" i="1"/>
  <c r="L16" i="1" s="1"/>
  <c r="Z42" i="18" l="1"/>
  <c r="N42" i="18"/>
  <c r="AF26" i="18"/>
  <c r="N26" i="18"/>
  <c r="AF18" i="18"/>
  <c r="T10" i="18"/>
  <c r="N34" i="18"/>
  <c r="T34" i="18"/>
  <c r="T18" i="18"/>
  <c r="Z18" i="18"/>
  <c r="Z10" i="18"/>
  <c r="AL18" i="18"/>
  <c r="Z26" i="18"/>
  <c r="N58" i="1"/>
  <c r="M58"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2" i="1"/>
  <c r="AJ42" i="18"/>
  <c r="AJ18" i="18"/>
  <c r="AD26" i="18"/>
  <c r="L10" i="18"/>
  <c r="AD10" i="18"/>
  <c r="X18" i="18"/>
  <c r="AD42" i="18"/>
  <c r="L18" i="18"/>
  <c r="R10" i="18"/>
  <c r="N52" i="1"/>
  <c r="M64" i="1"/>
  <c r="AB64" i="1" s="1"/>
  <c r="AB36" i="18"/>
  <c r="AH12" i="18"/>
  <c r="P28" i="18"/>
  <c r="AH20" i="18"/>
  <c r="P36" i="18"/>
  <c r="V12" i="18"/>
  <c r="AH28" i="18"/>
  <c r="AB20" i="18"/>
  <c r="J12" i="18"/>
  <c r="J20" i="18"/>
  <c r="N64" i="1"/>
  <c r="P44" i="18"/>
  <c r="AB44" i="18"/>
  <c r="V28" i="18"/>
  <c r="V36" i="18"/>
  <c r="J28" i="18"/>
  <c r="AH36" i="18"/>
  <c r="J44" i="18"/>
  <c r="P12" i="18"/>
  <c r="AB12" i="18"/>
  <c r="V44" i="18"/>
  <c r="AH44" i="18"/>
  <c r="V20" i="18"/>
  <c r="P20" i="18"/>
  <c r="J36" i="18"/>
  <c r="AB28" i="18"/>
  <c r="T38" i="18"/>
  <c r="AF22" i="18"/>
  <c r="N38" i="18"/>
  <c r="AF30" i="18"/>
  <c r="AL6" i="18"/>
  <c r="Z6" i="18"/>
  <c r="N22" i="1"/>
  <c r="T14" i="18"/>
  <c r="T22" i="18"/>
  <c r="N6" i="18"/>
  <c r="AL30" i="18"/>
  <c r="Z22" i="18"/>
  <c r="Z14" i="18"/>
  <c r="M22" i="1"/>
  <c r="Z30" i="18"/>
  <c r="AL38" i="18"/>
  <c r="AL14" i="18"/>
  <c r="AF6" i="18"/>
  <c r="AL22" i="18"/>
  <c r="T30" i="18"/>
  <c r="Z38" i="18"/>
  <c r="AF14" i="18"/>
  <c r="N30" i="18"/>
  <c r="N14" i="18"/>
  <c r="N22" i="18"/>
  <c r="AF38" i="18"/>
  <c r="T6" i="18"/>
  <c r="M34" i="1"/>
  <c r="X32" i="18"/>
  <c r="AD32" i="18"/>
  <c r="AJ8" i="18"/>
  <c r="L16" i="18"/>
  <c r="R32" i="18"/>
  <c r="AJ32" i="18"/>
  <c r="N34" i="1"/>
  <c r="R40" i="18"/>
  <c r="AJ40" i="18"/>
  <c r="AD24" i="18"/>
  <c r="AJ24" i="18"/>
  <c r="R24" i="18"/>
  <c r="AJ16" i="18"/>
  <c r="AD8" i="18"/>
  <c r="L32" i="18"/>
  <c r="L40" i="18"/>
  <c r="R16" i="18"/>
  <c r="L24" i="18"/>
  <c r="AD16" i="18"/>
  <c r="L8" i="18"/>
  <c r="R8" i="18"/>
  <c r="X40" i="18"/>
  <c r="X8" i="18"/>
  <c r="X16" i="18"/>
  <c r="AD40" i="18"/>
  <c r="X24" i="18"/>
  <c r="M28" i="1"/>
  <c r="J40" i="18"/>
  <c r="J16" i="18"/>
  <c r="P16" i="18"/>
  <c r="V8" i="18"/>
  <c r="J8" i="18"/>
  <c r="J24" i="18"/>
  <c r="AH16" i="18"/>
  <c r="AB16" i="18"/>
  <c r="AB40" i="18"/>
  <c r="P32" i="18"/>
  <c r="P40" i="18"/>
  <c r="AH24" i="18"/>
  <c r="AB32" i="18"/>
  <c r="J32" i="18"/>
  <c r="V16" i="18"/>
  <c r="V40" i="18"/>
  <c r="AH32" i="18"/>
  <c r="V24" i="18"/>
  <c r="V32" i="18"/>
  <c r="AH8" i="18"/>
  <c r="AB8" i="18"/>
  <c r="P8" i="18"/>
  <c r="N28" i="1"/>
  <c r="AH40" i="18"/>
  <c r="AB24" i="18"/>
  <c r="P24" i="18"/>
  <c r="AD38" i="18"/>
  <c r="L30" i="18"/>
  <c r="AD30" i="18"/>
  <c r="AJ6" i="18"/>
  <c r="L14" i="18"/>
  <c r="L22" i="18"/>
  <c r="X6" i="18"/>
  <c r="L6" i="18"/>
  <c r="N16" i="1"/>
  <c r="R38" i="18"/>
  <c r="AJ38" i="18"/>
  <c r="L38" i="18"/>
  <c r="AD6" i="18"/>
  <c r="R6" i="18"/>
  <c r="AJ30" i="18"/>
  <c r="R30" i="18"/>
  <c r="AD22" i="18"/>
  <c r="AJ14" i="18"/>
  <c r="AJ22" i="18"/>
  <c r="AD14" i="18"/>
  <c r="X38" i="18"/>
  <c r="X14" i="18"/>
  <c r="R22" i="18"/>
  <c r="X22" i="18"/>
  <c r="M16"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0" i="1"/>
  <c r="AB10" i="1" s="1"/>
  <c r="N10" i="1"/>
  <c r="M46" i="1"/>
  <c r="AH34" i="18"/>
  <c r="AH42" i="18"/>
  <c r="AH18" i="18"/>
  <c r="AB10" i="18"/>
  <c r="J26" i="18"/>
  <c r="V18" i="18"/>
  <c r="V42" i="18"/>
  <c r="J42" i="18"/>
  <c r="P10" i="18"/>
  <c r="AB26" i="18"/>
  <c r="J34" i="18"/>
  <c r="J18" i="18"/>
  <c r="AH10" i="18"/>
  <c r="AB34" i="18"/>
  <c r="P26" i="18"/>
  <c r="P34" i="18"/>
  <c r="V34" i="18"/>
  <c r="AH26" i="18"/>
  <c r="J10" i="18"/>
  <c r="N46" i="1"/>
  <c r="P18" i="18"/>
  <c r="AB42" i="18"/>
  <c r="V10" i="18"/>
  <c r="AB18" i="18"/>
  <c r="P42" i="18"/>
  <c r="V26" i="18"/>
  <c r="Z32" i="18"/>
  <c r="N24" i="18"/>
  <c r="AL32" i="18"/>
  <c r="AL40" i="18"/>
  <c r="N8" i="18"/>
  <c r="AF24" i="18"/>
  <c r="Z40" i="18"/>
  <c r="Z16" i="18"/>
  <c r="N32" i="18"/>
  <c r="T32" i="18"/>
  <c r="N40" i="18"/>
  <c r="T8" i="18"/>
  <c r="M40" i="1"/>
  <c r="AF32" i="18"/>
  <c r="AL8" i="18"/>
  <c r="T24" i="18"/>
  <c r="N16" i="18"/>
  <c r="T16" i="18"/>
  <c r="Z24" i="18"/>
  <c r="AF16" i="18"/>
  <c r="N40" i="1"/>
  <c r="T40" i="18"/>
  <c r="AF8" i="18"/>
  <c r="AL24" i="18"/>
  <c r="Z8" i="18"/>
  <c r="AF40" i="18"/>
  <c r="AL16" i="18"/>
  <c r="AB28" i="1" l="1"/>
  <c r="AA28" i="1" s="1"/>
  <c r="AA64" i="1"/>
  <c r="AB66" i="1"/>
  <c r="AB59" i="1"/>
  <c r="AB58" i="1"/>
  <c r="AB41" i="1"/>
  <c r="AB40" i="1"/>
  <c r="AA40" i="1" s="1"/>
  <c r="AB53" i="1"/>
  <c r="AB52" i="1"/>
  <c r="AA52" i="1" s="1"/>
  <c r="AA10" i="1"/>
  <c r="AB11" i="1"/>
  <c r="AB17" i="1"/>
  <c r="AB16" i="1"/>
  <c r="AA16" i="1" s="1"/>
  <c r="AB22" i="1"/>
  <c r="AA22" i="1" s="1"/>
  <c r="AB47" i="1"/>
  <c r="AB46" i="1"/>
  <c r="AA46" i="1" s="1"/>
  <c r="AB34" i="1"/>
  <c r="AA34" i="1" s="1"/>
  <c r="AB35" i="1" l="1"/>
  <c r="AB36" i="1" s="1"/>
  <c r="AB29" i="1"/>
  <c r="AB30" i="1" s="1"/>
  <c r="AB23" i="1"/>
  <c r="AA23" i="1" s="1"/>
  <c r="J40" i="19"/>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0" i="1"/>
  <c r="J36" i="19"/>
  <c r="J46" i="19"/>
  <c r="V25" i="19"/>
  <c r="AH25" i="19"/>
  <c r="P45" i="19"/>
  <c r="AH45" i="19"/>
  <c r="AH15" i="19"/>
  <c r="AB55" i="19"/>
  <c r="J45" i="19"/>
  <c r="AH35" i="19"/>
  <c r="V45" i="19"/>
  <c r="AH55" i="19"/>
  <c r="V15" i="19"/>
  <c r="J25" i="19"/>
  <c r="V35" i="19"/>
  <c r="AC64" i="1"/>
  <c r="P25" i="19"/>
  <c r="V55" i="19"/>
  <c r="J15" i="19"/>
  <c r="AB15" i="19"/>
  <c r="J35" i="19"/>
  <c r="AB35" i="19"/>
  <c r="J55" i="19"/>
  <c r="AB25" i="19"/>
  <c r="P35" i="19"/>
  <c r="P55" i="19"/>
  <c r="AB45" i="19"/>
  <c r="P15" i="19"/>
  <c r="J47" i="19"/>
  <c r="V27" i="19"/>
  <c r="AH7" i="19"/>
  <c r="P47" i="19"/>
  <c r="AB27" i="19"/>
  <c r="J17" i="19"/>
  <c r="V47" i="19"/>
  <c r="J37" i="19"/>
  <c r="AC16" i="1"/>
  <c r="AB37" i="19"/>
  <c r="J27" i="19"/>
  <c r="V7" i="19"/>
  <c r="AH37" i="19"/>
  <c r="P27" i="19"/>
  <c r="AB7" i="19"/>
  <c r="P17" i="19"/>
  <c r="V17" i="19"/>
  <c r="AH47" i="19"/>
  <c r="P37" i="19"/>
  <c r="AB17" i="19"/>
  <c r="J7" i="19"/>
  <c r="V37" i="19"/>
  <c r="AH17" i="19"/>
  <c r="P7" i="19"/>
  <c r="AH27" i="19"/>
  <c r="AB47" i="19"/>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12" i="1"/>
  <c r="AA11" i="1"/>
  <c r="AA66" i="1"/>
  <c r="AB67"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35" i="1" l="1"/>
  <c r="W20" i="19" s="1"/>
  <c r="AA29" i="1"/>
  <c r="AI49" i="19" s="1"/>
  <c r="AB24" i="1"/>
  <c r="AB25" i="1" s="1"/>
  <c r="W37" i="19"/>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60" i="1"/>
  <c r="AB61" i="1"/>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K20" i="19" l="1"/>
  <c r="AC10" i="19"/>
  <c r="Q50" i="19"/>
  <c r="K40" i="19"/>
  <c r="W40" i="19"/>
  <c r="W50" i="19"/>
  <c r="AI40" i="19"/>
  <c r="Q30" i="19"/>
  <c r="AI20" i="19"/>
  <c r="AC50" i="19"/>
  <c r="Q20" i="19"/>
  <c r="AI50" i="19"/>
  <c r="W10" i="19"/>
  <c r="Q10" i="19"/>
  <c r="W30" i="19"/>
  <c r="K30" i="19"/>
  <c r="AC40" i="19"/>
  <c r="AC30" i="19"/>
  <c r="Q40" i="19"/>
  <c r="AI30" i="19"/>
  <c r="K10" i="19"/>
  <c r="K50" i="19"/>
  <c r="AC20" i="19"/>
  <c r="AC35" i="1"/>
  <c r="AI10" i="19"/>
  <c r="Q19" i="19"/>
  <c r="W29" i="19"/>
  <c r="K9" i="19"/>
  <c r="AC29" i="1"/>
  <c r="AC39" i="19"/>
  <c r="AI29" i="19"/>
  <c r="Q9" i="19"/>
  <c r="Q39" i="19"/>
  <c r="K39" i="19"/>
  <c r="W39" i="19"/>
  <c r="Q29" i="19"/>
  <c r="AI9" i="19"/>
  <c r="K19" i="19"/>
  <c r="AI19" i="19"/>
  <c r="W49" i="19"/>
  <c r="Q49" i="19"/>
  <c r="K49" i="19"/>
  <c r="K29" i="19"/>
  <c r="AC19" i="19"/>
  <c r="AC49" i="19"/>
  <c r="AI39" i="19"/>
  <c r="W9" i="19"/>
  <c r="AC29" i="19"/>
  <c r="AC9" i="19"/>
  <c r="W19" i="19"/>
  <c r="AA24" i="1"/>
  <c r="L38" i="19" s="1"/>
  <c r="AB14" i="1"/>
  <c r="AA14" i="1" s="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L28" i="19" l="1"/>
  <c r="AJ38" i="19"/>
  <c r="X48" i="19"/>
  <c r="AD48" i="19"/>
  <c r="AJ8" i="19"/>
  <c r="L8" i="19"/>
  <c r="X38" i="19"/>
  <c r="R48" i="19"/>
  <c r="X28" i="19"/>
  <c r="X8" i="19"/>
  <c r="L18" i="19"/>
  <c r="R28" i="19"/>
  <c r="AD28" i="19"/>
  <c r="X18" i="19"/>
  <c r="AJ18" i="19"/>
  <c r="AJ28" i="19"/>
  <c r="AJ48" i="19"/>
  <c r="R18" i="19"/>
  <c r="L48" i="19"/>
  <c r="AD8" i="19"/>
  <c r="AD18" i="19"/>
  <c r="AD38" i="19"/>
  <c r="AC24" i="1"/>
  <c r="R38" i="19"/>
  <c r="R8" i="19"/>
  <c r="AA38" i="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<sst xmlns="http://schemas.openxmlformats.org/spreadsheetml/2006/main" count="614" uniqueCount="325">
  <si>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</si>
  <si>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</si>
  <si>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</si>
  <si>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</si>
  <si>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</si>
  <si>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</si>
  <si>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</si>
  <si>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</si>
  <si>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</si>
  <si>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</si>
  <si>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</si>
  <si>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</si>
  <si>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</si>
  <si>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</si>
  <si>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</si>
  <si>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</si>
  <si>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</si>
  <si>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</si>
  <si>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</si>
  <si>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</si>
  <si>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</si>
  <si>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</si>
  <si>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</si>
  <si>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</si>
  <si>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</si>
  <si>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</si>
  <si>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</si>
  <si>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</si>
  <si>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</si>
  <si>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</si>
  <si>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</si>
  <si>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</si>
  <si>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</si>
  <si>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</si>
  <si>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</si>
  <si>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</si>
  <si>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</si>
  <si>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</si>
  <si>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</si>
  <si>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</si>
  <si>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</si>
  <si>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</si>
  <si>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</si>
  <si>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</si>
  <si>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</si>
  <si>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</si>
  <si>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</si>
  <si>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</si>
  <si>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</si>
  <si>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</si>
  <si>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</si>
  <si>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</si>
  <si>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</si>
  <si>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</si>
  <si>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</si>
  <si>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</si>
  <si>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</si>
  <si>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</si>
  <si>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</si>
  <si>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</si>
  <si>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</si>
  <si>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</si>
  <si>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</si>
  <si>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</si>
  <si>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</si>
  <si>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</si>
  <si>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</si>
  <si>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</si>
  <si>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</si>
  <si>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</si>
  <si>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</si>
  <si>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</si>
  <si>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</si>
  <si>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</si>
  <si>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</si>
  <si>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</si>
  <si>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</si>
  <si>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</si>
  <si>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</si>
  <si>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</si>
  <si>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</si>
  <si>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</si>
  <si>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</si>
  <si>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</si>
  <si>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</si>
  <si>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</si>
  <si>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</si>
  <si>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</si>
  <si>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</si>
  <si>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</si>
  <si>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</si>
  <si>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</si>
  <si>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</si>
  <si>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</si>
  <si>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</si>
  <si>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</si>
  <si>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</si>
  <si>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</si>
  <si>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</si>
  <si>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</si>
  <si>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</si>
  <si>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</si>
  <si>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</si>
  <si>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</si>
  <si>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</si>
  <si>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</si>
  <si>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</si>
  <si>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</si>
  <si>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</si>
  <si>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</si>
  <si>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</si>
  <si>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</si>
  <si>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</si>
  <si>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</si>
  <si>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</si>
  <si>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</si>
  <si>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</si>
  <si>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</si>
  <si>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</si>
  <si>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</si>
  <si>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</si>
  <si>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</si>
  <si>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</si>
  <si>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</si>
  <si>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</si>
  <si>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</si>
  <si>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</si>
  <si>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</si>
  <si>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</si>
  <si>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</si>
  <si>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</si>
  <si>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</si>
  <si>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</si>
  <si>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</si>
  <si>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</si>
  <si>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</si>
  <si>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</si>
  <si>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</si>
  <si>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</si>
  <si>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</si>
  <si>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</si>
  <si>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</si>
  <si>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</si>
  <si>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</si>
  <si>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</si>
  <si>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</si>
  <si>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</si>
  <si>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</si>
  <si>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</si>
  <si>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</si>
  <si>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</si>
  <si>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</si>
  <si>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</si>
  <si>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</si>
  <si>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</si>
  <si>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</si>
  <si>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</si>
  <si>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</si>
  <si>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</si>
  <si>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</si>
  <si>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</si>
  <si>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</si>
  <si>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</si>
  <si>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</si>
  <si>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</si>
  <si>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</si>
  <si>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</si>
  <si>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</si>
  <si>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</si>
  <si>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</si>
  <si>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</si>
  <si>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</si>
  <si>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</si>
  <si>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</si>
  <si>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</si>
  <si>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</si>
  <si>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</si>
  <si>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</si>
  <si>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</si>
  <si>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</si>
  <si>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</si>
  <si>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</si>
  <si>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</si>
  <si>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</si>
  <si>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</si>
  <si>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</si>
  <si>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</si>
  <si>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</si>
  <si>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</si>
  <si>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</si>
  <si>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</si>
  <si>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</si>
  <si>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</si>
  <si>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</si>
  <si>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</si>
  <si>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</si>
  <si>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</si>
  <si>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</si>
  <si>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</si>
  <si>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</si>
  <si>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</si>
  <si>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</si>
  <si>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</si>
  <si>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</si>
  <si>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</si>
  <si>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</si>
  <si>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</si>
  <si>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</si>
  <si>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</si>
  <si>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</si>
  <si>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</si>
  <si>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</si>
  <si>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</si>
  <si>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</si>
  <si>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Estrategico, misionales, operativos, de apoyo y mejora</t>
  </si>
  <si>
    <t>Facilitar la identificación, evaluación y control de los riesgos de corrupción relacionados con el Instituto Sinchi</t>
  </si>
  <si>
    <t>Aplica para todos los procesos</t>
  </si>
  <si>
    <t>La ejecución de actos mal intencionados,  los pocos controles de revisión y seguimiento al ejercicio de las funciones y responsabilidad de los trabajadores encargados de la toma de decisiones, puede conllevar al abuso  de la autoridad,   haciendo uso particular  de los recursos financieros del Instituto con el fin de obtener un beneficio privado.</t>
  </si>
  <si>
    <t>Intereses particulares en la toma de deciciones</t>
  </si>
  <si>
    <t>Posibilidad de que por acción u omisión, se obtenga un beneficio personal para favorecer un tercero, al incumplir los procedimientos institucionales</t>
  </si>
  <si>
    <t>El Jefe de la Unidad Juridica convocará el comité de contratación para revisar con las partes interesadas los requisitos previos de selección  y evaluación de contratos de la entidad.</t>
  </si>
  <si>
    <t>Cada lider de proceso debera contar con procedimientos definidos y establecidos por el Instituto, implementando mecanismos de revisión y seguimiento al cumplimiento de actividades establecidas.</t>
  </si>
  <si>
    <t xml:space="preserve">La Jefe Asesora de la Oficina de Evaluación Interna, programará auditorias internas para la revisión y evaluación de las actividades ejecutadas al interior de los procesos . </t>
  </si>
  <si>
    <t xml:space="preserve">La alta dirección realizará la delegación de responsabilidades a jefes de unidades para el cumplimiento, seguimiento y control de los requisitos internos y legales. </t>
  </si>
  <si>
    <t>Documentar actas de comité de contratación para dejar trazabilidad de selección y evaluación de contrataciones solicitadas</t>
  </si>
  <si>
    <t xml:space="preserve">La Entidad cuenta con el sistema de gestión de calidad, que asume el apoyo y seguimiento al cumplimiento de las actividades definidas para cada uno de los procesos. </t>
  </si>
  <si>
    <t xml:space="preserve"> La Oficina Asesora de Evaluación Interna reporta permanentemente a la Dirección General el estado de Auditorias Internas para  el seguimiento de detecciones de mejora y observaciones que se puedan generar del ejercicio.</t>
  </si>
  <si>
    <t>Jefe Unidad de Apoyo Juridico
Integrantes comité
Solicitante de contratación</t>
  </si>
  <si>
    <t>Dirección General
Lideres de proceso</t>
  </si>
  <si>
    <t>Jefe Asesora de 
Evaluación interna</t>
  </si>
  <si>
    <t>Lideres de 
proceso</t>
  </si>
  <si>
    <t>Subdirección 
administrtaiva
 y Financiera</t>
  </si>
  <si>
    <t>Anual</t>
  </si>
  <si>
    <t>Afectar, sustraer  los  reportes internos o resultados de gestión para ocultar o afectar la información generada por el Instituto.</t>
  </si>
  <si>
    <t>Ausencia de controles de seguridad informática
Fallas tecnológicas
Ausencia de sistemas de información que puedan facilitar acceso y posible manipulación o alteración
Ocultar información considerada pública para los usuarios
Ausencia o debilidad de canales de comunicación
Ausencia o debilidad de medidas o políticas de conflictos de interés</t>
  </si>
  <si>
    <t>Posibilidad de que por acción u omisión se presenten daños o sustracción de la información del instituto, para ocultar o afectar la información del instituto o por ausencia de controles de seguridad informática</t>
  </si>
  <si>
    <t>Los lideres de proceso deberan cumplir con las periodicidades de los  back ups y los controles de seguridad de la información.</t>
  </si>
  <si>
    <t xml:space="preserve"> La Subdirección administrativa y financiera  deberá Implementar y hacer seguimiento a las actividades del sistema de gestión de seguridad de la Información.</t>
  </si>
  <si>
    <t>En cada sede se deberá garantizar el funcionamiento de las cámaras de seguridad de vigilancia  para la supervisión de ingreso y salida de documentación en las sedes.</t>
  </si>
  <si>
    <t xml:space="preserve">Respaldo de la información  mediante back up, información en nube y servidores </t>
  </si>
  <si>
    <t>Coordinadores de programa/ proyectos
Lideres de proceso
Jefe Unidad Apoyo Informatica</t>
  </si>
  <si>
    <t>De acuerdo a lo definido por cada proceso</t>
  </si>
  <si>
    <t>Coordinadores de programa/ proyectos
Lideres de proceso
Jefe Unidad Apoyo Informatica
Subdirección administrativa y financiera</t>
  </si>
  <si>
    <t>Permanente</t>
  </si>
  <si>
    <t>El Instituto cuenta con la subcontratación de un centro de correspondencia  para la administración  y manejo del archivo del Instituto.</t>
  </si>
  <si>
    <t xml:space="preserve">Subdirección administrtaiva y financiera
</t>
  </si>
  <si>
    <t>Se realizó contratación de  servicio de consultoría, capacitación y apoyo en el levantamiento de TRD y TVD para asegurar el debido levantamiento de inventarios de archivos institucionales</t>
  </si>
  <si>
    <t>Subdirección administrtaiva y financiera</t>
  </si>
  <si>
    <t>Circuito Cerrado de Televisión en las sedes Bogotá, Leticia, San José</t>
  </si>
  <si>
    <t>Realizar pagos en efectivo al personal del Instituto que no cuenten con el debido soporte para su legalización</t>
  </si>
  <si>
    <t>Reconocer inclusión de gastos no realizados
Inexistencia de soportes contables
Afectación de rubros que no corresponde</t>
  </si>
  <si>
    <t>Posbilidad de apropiarce de manera indebida de recursos de la entidad, al efectuar pagos sin los soportes correspondientes o manejo de dinero en efectivo por limitacines bancarias en la región amazónica</t>
  </si>
  <si>
    <t xml:space="preserve">La Jefe Asesora de Planeación debera revisar y aprobar  las viabilidades técnicas para la ejecución presupuestal.
</t>
  </si>
  <si>
    <t>La Subdirección Administrativa y Financiera deberá gestionar los Procesos de revisoría fiscal al interior del Instituto.</t>
  </si>
  <si>
    <t>La Oficina Asesora de Evaluación Interna denerá entregar oportunamente informes de gestión a las entidades de control.</t>
  </si>
  <si>
    <t xml:space="preserve"> Resolución interna de legalización de gastos.</t>
  </si>
  <si>
    <t>Coordinadores de sede/programa/proyecto
Lideres de proceso
Jefe de Unidad de Apoyo Tesoreria</t>
  </si>
  <si>
    <t>Verificación de la disponibilidad presupuestal con base en el Plan Operativo Anual</t>
  </si>
  <si>
    <t>Subdirección Administrativa y Financiera
Unidad de Apoyo Financiera
Oficina Asesora de Planeación</t>
  </si>
  <si>
    <t>Diario</t>
  </si>
  <si>
    <t>Programación de auditorias de verificación</t>
  </si>
  <si>
    <t xml:space="preserve">Subdirección Administrativa y Financiera
Unidad de Apoyo Financiera
</t>
  </si>
  <si>
    <t xml:space="preserve">Dirección estrategica
Oficina Asesora de Evaluación Interna
</t>
  </si>
  <si>
    <t>Semestral</t>
  </si>
  <si>
    <t>Adjudicar contratos a cambio de favores, abusando de la autoridad del cargo para omitir el debido proceso, generando detrimento patrimonial</t>
  </si>
  <si>
    <t xml:space="preserve">Estudios previos deficientes
Términos de referencia hechos a la medida de un interesado
Cambio de condiciones que restringen la participación
Abuso de autoridad
Carencia de controles operativos
Desconocimiento de procedimientos
</t>
  </si>
  <si>
    <t xml:space="preserve">Posibilidad de adjudicar contratos a cambio de favores o beneficio propio o de un tercero, abusando de la autoridad del cargo, generando detrimento patrimonial </t>
  </si>
  <si>
    <t xml:space="preserve">Las convocatorias públicas y listas cortas deben ser puestas a consideración del comité de contratación, con el propósito de evaluar los requisitos financieros y técnicos por parte de los respectivos responsables. </t>
  </si>
  <si>
    <t>Las convocatorias públicas, la información de listas cortas y contrataciones directas se publican en la plataforma del SECOP como parte del proceso de garantía y transparencia, por parte de la Unidad  de Apoyo Juridica.</t>
  </si>
  <si>
    <t xml:space="preserve">La Jefe de Talento Humano deberá sensibilizar al personal del Instituto  en los valores éticos y morales institucionales. </t>
  </si>
  <si>
    <t xml:space="preserve"> Ejecución de comites de contratación
Publicación de convocatorias en página webhttps://sinchi.org.co/convocatorias</t>
  </si>
  <si>
    <t>Mensual</t>
  </si>
  <si>
    <t>conocer y discutir los resultados de las adjudicaciones de las convocatorias públicas efectuadas para contratar cuando la cuantía, o las especiales circunstancias así lo ameriten</t>
  </si>
  <si>
    <t>Reportes en SECOP II de convocatoria</t>
  </si>
  <si>
    <t>Jefe Unidad de Apoyo Juridico</t>
  </si>
  <si>
    <t>Código de integridad socializado</t>
  </si>
  <si>
    <t>Jefe Unidad Apoyo Talento Humano</t>
  </si>
  <si>
    <t>Revisión de requisitos previos de contratación</t>
  </si>
  <si>
    <t xml:space="preserve">Ocultar, modificar u ocultar  información considerable de los procesos que incurra en ineficiencia de la evaluación de los requisitos legales aplicables. </t>
  </si>
  <si>
    <t xml:space="preserve">Ocultar o modificar información importante de los procesos
Ineficiente evaluación de los requisitos legales aplicables
Resultados alterados en los informes de auditoría que no contengan la información evaluada
</t>
  </si>
  <si>
    <t>Posibilidad de alterar o modificar informes de auditoría interna, para ocultar información  y favorecer a un tercero</t>
  </si>
  <si>
    <t xml:space="preserve">La oficina Asesora de Evaluación interna debera elaborar  los planes y programas de las auditorias internas. </t>
  </si>
  <si>
    <t xml:space="preserve">La Jefe Asesora de evaluación interna deberá revisar y socializar de manera preliminar las actividades de evaluación con el comité de evaluación interna. </t>
  </si>
  <si>
    <t>La Jefe Asesora de evaluación interna deberá elaborar  informes de cumplimiento y seguimiento de esta Oficina que demuestran la gestión de evaluación y control interno.</t>
  </si>
  <si>
    <t xml:space="preserve">El Instituto mediante Resolución Interna , cuenta con delegación y socialización de  las responsabilidades y funciones de la Oficina de evaluación interna, para el respectivo seguimiento en el cumplimiento de los requisitos internos y normativos aplicables a la gestión institucional. </t>
  </si>
  <si>
    <t>Dirección General
Jefe Oficina Asesora de Evaluación Interna</t>
  </si>
  <si>
    <t xml:space="preserve"> Seguimiento de las actividades implementadas por la Oficina Asesora de Evaluación interna, mediante la ejecución de los comités de evaluación interna e informes de resultados. </t>
  </si>
  <si>
    <t>Dirección General
Jefe Oficina Asesora de Evaluación Interna
Subdirección administrativa y financiera</t>
  </si>
  <si>
    <t>Cuatrimestral</t>
  </si>
  <si>
    <t>Resultados de informes de cumplimiento y seguimiento reportados a la Alta dirección</t>
  </si>
  <si>
    <t>Reportes de informes de actividades evaluadas</t>
  </si>
  <si>
    <t xml:space="preserve">Jefe Unidad de Apoyo Tesoreria
Jefe Unidad de Apoyo presupuesto
Jefe Unidad de Apoyo Contabilidad </t>
  </si>
  <si>
    <t>Se realiza el seguimiento a traves del reporte del Indicador de cumplimiento de elaboración de actas de comité evaluado para la vigencia 2023</t>
  </si>
  <si>
    <t>Ejecución  de auditoria de recertificación generada en marzo de 2023.
Seguimiento interno realizdo al cumplimiento de las actividades mediante el informe de revisión por la dirección 2022</t>
  </si>
  <si>
    <t>Informe de resultados de auditorias internas 2022 socializado en informe de revisión por la dirección año 2022, soicalización del porgrama anual de auditorias por parte de la OAEI.</t>
  </si>
  <si>
    <t>Asignación formal de responsabilidades para la delegación de funciones propias de cada dependencia.
Socialización de avances insitucionales de manera periodica, para asegurar el avance de cumplimiento de las directrices internas y externas aplicables para la entidad</t>
  </si>
  <si>
    <t>Como resultado a la gestión  anual de la entidad, se socializa el Informe anual  de gestión y desempeño institucional  2022 en la pagina web, como parte tambien de las actividades conjuntas de rendición de cuentas al sector ambiente.</t>
  </si>
  <si>
    <t>La subdirección administrativa y financiera se encargará de gestionar y tramitar las polizas de seguros que amparen  las pérdidas directas de dinero, titulos valores u otras propiedades, a causa de cualquier infidelidad o falsificación por parte de cualquier empleado y  control de riesgos financieros y  riesgos contra directivos.</t>
  </si>
  <si>
    <t>Adquisición de polizas de seguro que respaldan los bienes inmuebles y actividades de la labor institucional</t>
  </si>
  <si>
    <t>Se realiza el seguimiento a traves de las actividades descritas de  relación de polizas en el plan de manejo de riesgos  y oportunidades del instituto (numeral 10 -relación de controlescon  los amparosde las pólizas, relacionado el riesgo asociado y el control).</t>
  </si>
  <si>
    <t xml:space="preserve">Se verificó en la página web, que la Oficina T.I realizó una actualización al cronograma de actividades  plan del  Plan de Seguridad y Privacidad de la información para la vigencia 2023. </t>
  </si>
  <si>
    <t>Identificación de activos de la información
Aplicación de politica de seguridad de la información en el Instituto</t>
  </si>
  <si>
    <t xml:space="preserve">Se tiene una identificación preliminar de activos de la información y aplicación de la politica de seguridad de la información. 
La Oficina T.I participa de la actividades del comité sectorial para su orientación en la aplicación de procedimientos internos. </t>
  </si>
  <si>
    <t>Se cuenta con el Servicio contratado y en ejecución, su supervisión esta a cargo de la Subdirección administrativa y financiera.</t>
  </si>
  <si>
    <t xml:space="preserve"> La Subdirección administrativa y financiera  definirá las actividades de control y seguimiento a la conservación, custodia y disposición de la información documentada del Instituto, que ha facilitado la trazabilidad, custodia y accesibilidad de la información.</t>
  </si>
  <si>
    <t xml:space="preserve">El comité de gestión de desempeño deberá revisar y aprobar la  actualización de las tablas de retención documental y valoración documental., cuando se requiera o se solicite un respectivo ajuste, cambio o actualización. </t>
  </si>
  <si>
    <t xml:space="preserve">Se verificó en la pagina web la aprobación y publicación de las TRD aprobadas en el año 2019.  En el año 2022 se trabajó en la revisión y seguimiento a la consulta y manejo de las TRD por dependencia. </t>
  </si>
  <si>
    <t>Se revisó el funcionamiento de las cámaras de seguridad de vigilancia  para la supervisión de ingreso y salida de documentación en las sedes (leticia, Bogotá y san José).</t>
  </si>
  <si>
    <t>La Subidrección Administrativa y financiera emitirá la reglamentación interna de manejo de tales recursos, garantizando en la medida de lo posible la adecuada seguridad y manejo de los recursos financieros de la entidad.</t>
  </si>
  <si>
    <t>Desde la Unidad de Apoyo Financiera se realió la porgramación anual de recursos y la respectiva autorzación para la generación de certificaciones de disponibilidad presupuestal que estan directamente relacionadas a la programación de rubros.</t>
  </si>
  <si>
    <t>La Jefe Asesora de Evaluación Interna realizara  auditorias internas para verificar el adecuado manejo del dinero en efectivo de la entidad y realiza los respectivos informes de seguimiento y control.</t>
  </si>
  <si>
    <t xml:space="preserve">Se relizó la socialización de los resultados de informes de auditorias internas en el mes de febrero 2023, en la reunión de revsión por la dirección año 2022. </t>
  </si>
  <si>
    <t>Se verificó que en la Oficina Asesora de Planeación se generen con firma las respectivas vibilidades para la autorización de recursos presupuestales para proceder a la generación de CDP´s</t>
  </si>
  <si>
    <t>Durante el año se realizan las respectivas auditorias de revisión y seguimiento a la gestión administratva y de ejecución de los proyetcos de investigación, los informes son revisados y verificados por las Subidrecciones administrativa y cientifica y la Dirección General</t>
  </si>
  <si>
    <t xml:space="preserve">La  OAEI emite los informes de seguimiento y evaluación, que se reportan en el link de informes de la página web institucional </t>
  </si>
  <si>
    <t>El Jefe de la Unidad Juridica deberá asegurar el cumplimiento del manual interno de contratación.</t>
  </si>
  <si>
    <t xml:space="preserve">Se verificó la documentación del manual de contratación, bajo la Res. Interna No 002 de 2022 y el seguimiento del comité de contratación a traves d ela documentación de las actas. </t>
  </si>
  <si>
    <t>El  Jefe de la Unidad Juridica  debera verificar el cumplimiento de los procedimientos internos definidos para  la adquisición de bienes y servicios</t>
  </si>
  <si>
    <t>Se verificó la documentación de los procedimientos internos reportados en la intranet institucional  
Porcedimiento P7-001  adquisicon de bienes
P5- adquisiones por minimas cuantias</t>
  </si>
  <si>
    <t>Se verificó el procedimiento de convocatorias en el documento Manual de contratación actualizado bajo la Res. 002 de 2022</t>
  </si>
  <si>
    <t>La Unidad de Apoyo Juridica tiene una colaboradora de apoyo administrativo, que facilita el seguimiento oportuno de publicaciones en la plataforma.</t>
  </si>
  <si>
    <t xml:space="preserve">Se cuenta con la socialziación del código de integrdidad  en la página web y en la intranet como campaña de socializaicón de valores institucionales. </t>
  </si>
  <si>
    <t>or parte de la OAEI se socializó l plan anual de actividades del proceso para la vigencia 2023 al comité de evaluación interna y a los lideres de los procesos</t>
  </si>
  <si>
    <t>La OAEI cuenta con los soportes de las ayudas de memoria de comites de evaluación interna</t>
  </si>
  <si>
    <t>La OAEI repaliza enl Informe de Evaluación Independiente del Sistema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</si>
</sst>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7">
    <xf numFmtId="0" fontId="0" fillId="0" borderId="0"/>
    <xf numFmtId="9" fontId="15" fillId="0" borderId="0" applyFont="0" applyFill="0" applyBorder="0" applyAlignment="0" applyProtection="0"/>
    <xf numFmtId="0" fontId="48" fillId="0" borderId="0"/>
    <xf numFmtId="0" fontId="49" fillId="0" borderId="0"/>
    <xf numFmtId="0" fontId="5" fillId="0" borderId="0"/>
    <xf numFmtId="0" fontId="15" fillId="0" borderId="0"/>
    <xf numFmtId="0" fontId="15" fillId="0" borderId="0"/>
  </cellStyleXfs>
  <cellXfs count="39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164" fontId="1" fillId="9" borderId="2" xfId="1" applyNumberFormat="1" applyFont="1" applyFill="1" applyBorder="1" applyAlignment="1">
      <alignment horizontal="center"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6" fillId="0" borderId="2" xfId="5" applyFont="1" applyBorder="1" applyAlignment="1" applyProtection="1">
      <alignment horizontal="justify" vertical="center" wrapText="1"/>
      <protection locked="0"/>
    </xf>
    <xf numFmtId="0" fontId="1" fillId="0" borderId="2" xfId="5" applyFont="1" applyBorder="1" applyAlignment="1" applyProtection="1">
      <alignment horizontal="justify" vertical="center"/>
      <protection locked="0"/>
    </xf>
    <xf numFmtId="0" fontId="1" fillId="0" borderId="2" xfId="5" applyFont="1" applyBorder="1" applyAlignment="1" applyProtection="1">
      <alignment horizontal="center" vertical="center" wrapText="1"/>
      <protection locked="0"/>
    </xf>
    <xf numFmtId="0" fontId="1" fillId="0" borderId="2" xfId="6" applyFont="1" applyBorder="1" applyAlignment="1" applyProtection="1">
      <alignment horizontal="center" vertical="center" wrapText="1"/>
      <protection locked="0"/>
    </xf>
    <xf numFmtId="0" fontId="1" fillId="0" borderId="2" xfId="6" applyFont="1" applyBorder="1" applyAlignment="1" applyProtection="1">
      <alignment horizontal="center" vertical="center"/>
      <protection locked="0"/>
    </xf>
    <xf numFmtId="0" fontId="1" fillId="0" borderId="2" xfId="5" applyFont="1" applyBorder="1" applyAlignment="1" applyProtection="1">
      <alignment horizontal="center" vertical="center"/>
      <protection locked="0"/>
    </xf>
    <xf numFmtId="14" fontId="1" fillId="0" borderId="2" xfId="6" applyNumberFormat="1" applyFont="1" applyBorder="1" applyAlignment="1" applyProtection="1">
      <alignment horizontal="center" vertical="center"/>
      <protection locked="0"/>
    </xf>
    <xf numFmtId="14" fontId="1" fillId="0" borderId="2" xfId="5" applyNumberFormat="1" applyFont="1" applyBorder="1" applyAlignment="1" applyProtection="1">
      <alignment horizontal="center" vertical="center"/>
      <protection locked="0"/>
    </xf>
    <xf numFmtId="0" fontId="6" fillId="0" borderId="2" xfId="6" applyFont="1" applyBorder="1" applyAlignment="1" applyProtection="1">
      <alignment horizontal="justify" vertical="center" wrapText="1"/>
      <protection locked="0"/>
    </xf>
    <xf numFmtId="0" fontId="1" fillId="0" borderId="2" xfId="6" applyFont="1" applyBorder="1" applyAlignment="1" applyProtection="1">
      <alignment horizontal="justify" vertical="center"/>
      <protection locked="0"/>
    </xf>
    <xf numFmtId="0" fontId="1" fillId="0" borderId="2" xfId="6" applyFont="1" applyBorder="1" applyAlignment="1" applyProtection="1">
      <alignment horizontal="justify" vertical="center" wrapText="1"/>
      <protection locked="0"/>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5" applyFont="1" applyFill="1" applyBorder="1" applyAlignment="1" applyProtection="1">
      <alignment horizontal="left" vertical="center"/>
      <protection locked="0"/>
    </xf>
    <xf numFmtId="0" fontId="8" fillId="3" borderId="10" xfId="5" applyFont="1" applyFill="1" applyBorder="1" applyAlignment="1" applyProtection="1">
      <alignment horizontal="left" vertical="center"/>
      <protection locked="0"/>
    </xf>
    <xf numFmtId="0" fontId="8" fillId="3" borderId="7" xfId="5"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5" applyFont="1" applyFill="1" applyBorder="1" applyAlignment="1" applyProtection="1">
      <alignment horizontal="left" vertical="center" wrapText="1"/>
      <protection locked="0"/>
    </xf>
    <xf numFmtId="0" fontId="8" fillId="3" borderId="10" xfId="5" applyFont="1" applyFill="1" applyBorder="1" applyAlignment="1" applyProtection="1">
      <alignment horizontal="left" vertical="center" wrapText="1"/>
      <protection locked="0"/>
    </xf>
    <xf numFmtId="0" fontId="8" fillId="3" borderId="7" xfId="5"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7">
    <cellStyle name="Normal" xfId="0" builtinId="0"/>
    <cellStyle name="Normal - Style1 2" xfId="2" xr:uid="{00000000-0005-0000-0000-000001000000}"/>
    <cellStyle name="Normal 2" xfId="4" xr:uid="{00000000-0005-0000-0000-000002000000}"/>
    <cellStyle name="Normal 2 2" xfId="3" xr:uid="{00000000-0005-0000-0000-000003000000}"/>
    <cellStyle name="Normal 7" xfId="6" xr:uid="{00000000-0005-0000-0000-000004000000}"/>
    <cellStyle name="Normal 8" xfId="5" xr:uid="{00000000-0005-0000-0000-000005000000}"/>
    <cellStyle name="Porcentaje" xfId="1" builtinId="5"/>
  </cellStyles>
  <dxfs count="10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8" dataDxfId="107">
  <autoFilter ref="B209:C219" xr:uid="{00000000-0009-0000-0100-000001000000}"/>
  <tableColumns count="2">
    <tableColumn id="1" xr3:uid="{00000000-0010-0000-0000-000001000000}" name="Criterios" dataDxfId="106"/>
    <tableColumn id="2" xr3:uid="{00000000-0010-0000-0000-000002000000}" name="Subcriterios" dataDxfId="10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9" zoomScale="110" zoomScaleNormal="110" workbookViewId="0">
      <selection activeCell="B4" sqref="B4:H5"/>
    </sheetView>
  </sheetViews>
  <sheetFormatPr baseColWidth="10" defaultRowHeight="15" x14ac:dyDescent="0.25"/>
  <cols>
    <col min="1" max="1" width="2.85546875" style="97" customWidth="1"/>
    <col min="2" max="3" width="24.7109375" style="97" customWidth="1"/>
    <col min="4" max="4" width="16" style="97" customWidth="1"/>
    <col min="5" max="5" width="24.7109375" style="97" customWidth="1"/>
    <col min="6" max="6" width="27.7109375" style="97" customWidth="1"/>
    <col min="7" max="8" width="24.7109375" style="97" customWidth="1"/>
    <col min="9" max="16384" width="11.42578125" style="97"/>
  </cols>
  <sheetData>
    <row r="1" spans="2:8" ht="15.75" thickBot="1" x14ac:dyDescent="0.3"/>
    <row r="2" spans="2:8" ht="18" x14ac:dyDescent="0.25">
      <c r="B2" s="165" t="s">
        <v>166</v>
      </c>
      <c r="C2" s="166"/>
      <c r="D2" s="166"/>
      <c r="E2" s="166"/>
      <c r="F2" s="166"/>
      <c r="G2" s="166"/>
      <c r="H2" s="167"/>
    </row>
    <row r="3" spans="2:8" x14ac:dyDescent="0.25">
      <c r="B3" s="98"/>
      <c r="C3" s="99"/>
      <c r="D3" s="99"/>
      <c r="E3" s="99"/>
      <c r="F3" s="99"/>
      <c r="G3" s="99"/>
      <c r="H3" s="100"/>
    </row>
    <row r="4" spans="2:8" ht="63" customHeight="1" x14ac:dyDescent="0.25">
      <c r="B4" s="168" t="s">
        <v>209</v>
      </c>
      <c r="C4" s="169"/>
      <c r="D4" s="169"/>
      <c r="E4" s="169"/>
      <c r="F4" s="169"/>
      <c r="G4" s="169"/>
      <c r="H4" s="170"/>
    </row>
    <row r="5" spans="2:8" ht="63" customHeight="1" x14ac:dyDescent="0.25">
      <c r="B5" s="171"/>
      <c r="C5" s="172"/>
      <c r="D5" s="172"/>
      <c r="E5" s="172"/>
      <c r="F5" s="172"/>
      <c r="G5" s="172"/>
      <c r="H5" s="173"/>
    </row>
    <row r="6" spans="2:8" ht="16.5" x14ac:dyDescent="0.25">
      <c r="B6" s="174" t="s">
        <v>164</v>
      </c>
      <c r="C6" s="175"/>
      <c r="D6" s="175"/>
      <c r="E6" s="175"/>
      <c r="F6" s="175"/>
      <c r="G6" s="175"/>
      <c r="H6" s="176"/>
    </row>
    <row r="7" spans="2:8" ht="95.25" customHeight="1" x14ac:dyDescent="0.25">
      <c r="B7" s="184" t="s">
        <v>169</v>
      </c>
      <c r="C7" s="185"/>
      <c r="D7" s="185"/>
      <c r="E7" s="185"/>
      <c r="F7" s="185"/>
      <c r="G7" s="185"/>
      <c r="H7" s="186"/>
    </row>
    <row r="8" spans="2:8" ht="16.5" x14ac:dyDescent="0.25">
      <c r="B8" s="134"/>
      <c r="C8" s="135"/>
      <c r="D8" s="135"/>
      <c r="E8" s="135"/>
      <c r="F8" s="135"/>
      <c r="G8" s="135"/>
      <c r="H8" s="136"/>
    </row>
    <row r="9" spans="2:8" ht="16.5" customHeight="1" x14ac:dyDescent="0.25">
      <c r="B9" s="177" t="s">
        <v>202</v>
      </c>
      <c r="C9" s="178"/>
      <c r="D9" s="178"/>
      <c r="E9" s="178"/>
      <c r="F9" s="178"/>
      <c r="G9" s="178"/>
      <c r="H9" s="179"/>
    </row>
    <row r="10" spans="2:8" ht="44.25" customHeight="1" x14ac:dyDescent="0.25">
      <c r="B10" s="177"/>
      <c r="C10" s="178"/>
      <c r="D10" s="178"/>
      <c r="E10" s="178"/>
      <c r="F10" s="178"/>
      <c r="G10" s="178"/>
      <c r="H10" s="179"/>
    </row>
    <row r="11" spans="2:8" ht="15.75" thickBot="1" x14ac:dyDescent="0.3">
      <c r="B11" s="123"/>
      <c r="C11" s="126"/>
      <c r="D11" s="131"/>
      <c r="E11" s="132"/>
      <c r="F11" s="132"/>
      <c r="G11" s="133"/>
      <c r="H11" s="127"/>
    </row>
    <row r="12" spans="2:8" ht="15.75" thickTop="1" x14ac:dyDescent="0.25">
      <c r="B12" s="123"/>
      <c r="C12" s="180" t="s">
        <v>165</v>
      </c>
      <c r="D12" s="181"/>
      <c r="E12" s="182" t="s">
        <v>203</v>
      </c>
      <c r="F12" s="183"/>
      <c r="G12" s="126"/>
      <c r="H12" s="127"/>
    </row>
    <row r="13" spans="2:8" ht="35.25" customHeight="1" x14ac:dyDescent="0.25">
      <c r="B13" s="123"/>
      <c r="C13" s="152" t="s">
        <v>196</v>
      </c>
      <c r="D13" s="153"/>
      <c r="E13" s="154" t="s">
        <v>201</v>
      </c>
      <c r="F13" s="155"/>
      <c r="G13" s="126"/>
      <c r="H13" s="127"/>
    </row>
    <row r="14" spans="2:8" ht="17.25" customHeight="1" x14ac:dyDescent="0.25">
      <c r="B14" s="123"/>
      <c r="C14" s="152" t="s">
        <v>197</v>
      </c>
      <c r="D14" s="153"/>
      <c r="E14" s="154" t="s">
        <v>199</v>
      </c>
      <c r="F14" s="155"/>
      <c r="G14" s="126"/>
      <c r="H14" s="127"/>
    </row>
    <row r="15" spans="2:8" ht="19.5" customHeight="1" x14ac:dyDescent="0.25">
      <c r="B15" s="123"/>
      <c r="C15" s="152" t="s">
        <v>198</v>
      </c>
      <c r="D15" s="153"/>
      <c r="E15" s="154" t="s">
        <v>200</v>
      </c>
      <c r="F15" s="155"/>
      <c r="G15" s="126"/>
      <c r="H15" s="127"/>
    </row>
    <row r="16" spans="2:8" ht="69.75" customHeight="1" x14ac:dyDescent="0.25">
      <c r="B16" s="123"/>
      <c r="C16" s="152" t="s">
        <v>167</v>
      </c>
      <c r="D16" s="153"/>
      <c r="E16" s="154" t="s">
        <v>168</v>
      </c>
      <c r="F16" s="155"/>
      <c r="G16" s="126"/>
      <c r="H16" s="127"/>
    </row>
    <row r="17" spans="2:8" ht="34.5" customHeight="1" x14ac:dyDescent="0.25">
      <c r="B17" s="123"/>
      <c r="C17" s="156" t="s">
        <v>2</v>
      </c>
      <c r="D17" s="157"/>
      <c r="E17" s="148" t="s">
        <v>210</v>
      </c>
      <c r="F17" s="149"/>
      <c r="G17" s="126"/>
      <c r="H17" s="127"/>
    </row>
    <row r="18" spans="2:8" ht="27.75" customHeight="1" x14ac:dyDescent="0.25">
      <c r="B18" s="123"/>
      <c r="C18" s="156" t="s">
        <v>3</v>
      </c>
      <c r="D18" s="157"/>
      <c r="E18" s="148" t="s">
        <v>211</v>
      </c>
      <c r="F18" s="149"/>
      <c r="G18" s="126"/>
      <c r="H18" s="127"/>
    </row>
    <row r="19" spans="2:8" ht="28.5" customHeight="1" x14ac:dyDescent="0.25">
      <c r="B19" s="123"/>
      <c r="C19" s="156" t="s">
        <v>42</v>
      </c>
      <c r="D19" s="157"/>
      <c r="E19" s="148" t="s">
        <v>212</v>
      </c>
      <c r="F19" s="149"/>
      <c r="G19" s="126"/>
      <c r="H19" s="127"/>
    </row>
    <row r="20" spans="2:8" ht="72.75" customHeight="1" x14ac:dyDescent="0.25">
      <c r="B20" s="123"/>
      <c r="C20" s="156" t="s">
        <v>1</v>
      </c>
      <c r="D20" s="157"/>
      <c r="E20" s="148" t="s">
        <v>213</v>
      </c>
      <c r="F20" s="149"/>
      <c r="G20" s="126"/>
      <c r="H20" s="127"/>
    </row>
    <row r="21" spans="2:8" ht="64.5" customHeight="1" x14ac:dyDescent="0.25">
      <c r="B21" s="123"/>
      <c r="C21" s="156" t="s">
        <v>50</v>
      </c>
      <c r="D21" s="157"/>
      <c r="E21" s="148" t="s">
        <v>171</v>
      </c>
      <c r="F21" s="149"/>
      <c r="G21" s="126"/>
      <c r="H21" s="127"/>
    </row>
    <row r="22" spans="2:8" ht="71.25" customHeight="1" x14ac:dyDescent="0.25">
      <c r="B22" s="123"/>
      <c r="C22" s="156" t="s">
        <v>170</v>
      </c>
      <c r="D22" s="157"/>
      <c r="E22" s="148" t="s">
        <v>172</v>
      </c>
      <c r="F22" s="149"/>
      <c r="G22" s="126"/>
      <c r="H22" s="127"/>
    </row>
    <row r="23" spans="2:8" ht="55.5" customHeight="1" x14ac:dyDescent="0.25">
      <c r="B23" s="123"/>
      <c r="C23" s="150" t="s">
        <v>173</v>
      </c>
      <c r="D23" s="151"/>
      <c r="E23" s="148" t="s">
        <v>174</v>
      </c>
      <c r="F23" s="149"/>
      <c r="G23" s="126"/>
      <c r="H23" s="127"/>
    </row>
    <row r="24" spans="2:8" ht="42" customHeight="1" x14ac:dyDescent="0.25">
      <c r="B24" s="123"/>
      <c r="C24" s="150" t="s">
        <v>48</v>
      </c>
      <c r="D24" s="151"/>
      <c r="E24" s="148" t="s">
        <v>175</v>
      </c>
      <c r="F24" s="149"/>
      <c r="G24" s="126"/>
      <c r="H24" s="127"/>
    </row>
    <row r="25" spans="2:8" ht="59.25" customHeight="1" x14ac:dyDescent="0.25">
      <c r="B25" s="123"/>
      <c r="C25" s="150" t="s">
        <v>163</v>
      </c>
      <c r="D25" s="151"/>
      <c r="E25" s="148" t="s">
        <v>176</v>
      </c>
      <c r="F25" s="149"/>
      <c r="G25" s="126"/>
      <c r="H25" s="127"/>
    </row>
    <row r="26" spans="2:8" ht="23.25" customHeight="1" x14ac:dyDescent="0.25">
      <c r="B26" s="123"/>
      <c r="C26" s="150" t="s">
        <v>12</v>
      </c>
      <c r="D26" s="151"/>
      <c r="E26" s="148" t="s">
        <v>177</v>
      </c>
      <c r="F26" s="149"/>
      <c r="G26" s="126"/>
      <c r="H26" s="127"/>
    </row>
    <row r="27" spans="2:8" ht="30.75" customHeight="1" x14ac:dyDescent="0.25">
      <c r="B27" s="123"/>
      <c r="C27" s="150" t="s">
        <v>181</v>
      </c>
      <c r="D27" s="151"/>
      <c r="E27" s="148" t="s">
        <v>178</v>
      </c>
      <c r="F27" s="149"/>
      <c r="G27" s="126"/>
      <c r="H27" s="127"/>
    </row>
    <row r="28" spans="2:8" ht="35.25" customHeight="1" x14ac:dyDescent="0.25">
      <c r="B28" s="123"/>
      <c r="C28" s="150" t="s">
        <v>182</v>
      </c>
      <c r="D28" s="151"/>
      <c r="E28" s="148" t="s">
        <v>179</v>
      </c>
      <c r="F28" s="149"/>
      <c r="G28" s="126"/>
      <c r="H28" s="127"/>
    </row>
    <row r="29" spans="2:8" ht="33" customHeight="1" x14ac:dyDescent="0.25">
      <c r="B29" s="123"/>
      <c r="C29" s="150" t="s">
        <v>182</v>
      </c>
      <c r="D29" s="151"/>
      <c r="E29" s="148" t="s">
        <v>179</v>
      </c>
      <c r="F29" s="149"/>
      <c r="G29" s="126"/>
      <c r="H29" s="127"/>
    </row>
    <row r="30" spans="2:8" ht="30" customHeight="1" x14ac:dyDescent="0.25">
      <c r="B30" s="123"/>
      <c r="C30" s="150" t="s">
        <v>183</v>
      </c>
      <c r="D30" s="151"/>
      <c r="E30" s="148" t="s">
        <v>180</v>
      </c>
      <c r="F30" s="149"/>
      <c r="G30" s="126"/>
      <c r="H30" s="127"/>
    </row>
    <row r="31" spans="2:8" ht="35.25" customHeight="1" x14ac:dyDescent="0.25">
      <c r="B31" s="123"/>
      <c r="C31" s="150" t="s">
        <v>184</v>
      </c>
      <c r="D31" s="151"/>
      <c r="E31" s="148" t="s">
        <v>185</v>
      </c>
      <c r="F31" s="149"/>
      <c r="G31" s="126"/>
      <c r="H31" s="127"/>
    </row>
    <row r="32" spans="2:8" ht="31.5" customHeight="1" x14ac:dyDescent="0.25">
      <c r="B32" s="123"/>
      <c r="C32" s="150" t="s">
        <v>186</v>
      </c>
      <c r="D32" s="151"/>
      <c r="E32" s="148" t="s">
        <v>187</v>
      </c>
      <c r="F32" s="149"/>
      <c r="G32" s="126"/>
      <c r="H32" s="127"/>
    </row>
    <row r="33" spans="2:8" ht="35.25" customHeight="1" x14ac:dyDescent="0.25">
      <c r="B33" s="123"/>
      <c r="C33" s="150" t="s">
        <v>188</v>
      </c>
      <c r="D33" s="151"/>
      <c r="E33" s="148" t="s">
        <v>189</v>
      </c>
      <c r="F33" s="149"/>
      <c r="G33" s="126"/>
      <c r="H33" s="127"/>
    </row>
    <row r="34" spans="2:8" ht="59.25" customHeight="1" x14ac:dyDescent="0.25">
      <c r="B34" s="123"/>
      <c r="C34" s="150" t="s">
        <v>190</v>
      </c>
      <c r="D34" s="151"/>
      <c r="E34" s="148" t="s">
        <v>191</v>
      </c>
      <c r="F34" s="149"/>
      <c r="G34" s="126"/>
      <c r="H34" s="127"/>
    </row>
    <row r="35" spans="2:8" ht="29.25" customHeight="1" x14ac:dyDescent="0.25">
      <c r="B35" s="123"/>
      <c r="C35" s="150" t="s">
        <v>29</v>
      </c>
      <c r="D35" s="151"/>
      <c r="E35" s="148" t="s">
        <v>192</v>
      </c>
      <c r="F35" s="149"/>
      <c r="G35" s="126"/>
      <c r="H35" s="127"/>
    </row>
    <row r="36" spans="2:8" ht="82.5" customHeight="1" x14ac:dyDescent="0.25">
      <c r="B36" s="123"/>
      <c r="C36" s="150" t="s">
        <v>194</v>
      </c>
      <c r="D36" s="151"/>
      <c r="E36" s="148" t="s">
        <v>193</v>
      </c>
      <c r="F36" s="149"/>
      <c r="G36" s="126"/>
      <c r="H36" s="127"/>
    </row>
    <row r="37" spans="2:8" ht="46.5" customHeight="1" x14ac:dyDescent="0.25">
      <c r="B37" s="123"/>
      <c r="C37" s="150" t="s">
        <v>39</v>
      </c>
      <c r="D37" s="151"/>
      <c r="E37" s="148" t="s">
        <v>195</v>
      </c>
      <c r="F37" s="149"/>
      <c r="G37" s="126"/>
      <c r="H37" s="127"/>
    </row>
    <row r="38" spans="2:8" ht="6.75" customHeight="1" thickBot="1" x14ac:dyDescent="0.3">
      <c r="B38" s="123"/>
      <c r="C38" s="161"/>
      <c r="D38" s="162"/>
      <c r="E38" s="163"/>
      <c r="F38" s="164"/>
      <c r="G38" s="126"/>
      <c r="H38" s="127"/>
    </row>
    <row r="39" spans="2:8" ht="15.75" thickTop="1" x14ac:dyDescent="0.25">
      <c r="B39" s="123"/>
      <c r="C39" s="124"/>
      <c r="D39" s="124"/>
      <c r="E39" s="125"/>
      <c r="F39" s="125"/>
      <c r="G39" s="126"/>
      <c r="H39" s="127"/>
    </row>
    <row r="40" spans="2:8" ht="21" customHeight="1" x14ac:dyDescent="0.25">
      <c r="B40" s="158" t="s">
        <v>204</v>
      </c>
      <c r="C40" s="159"/>
      <c r="D40" s="159"/>
      <c r="E40" s="159"/>
      <c r="F40" s="159"/>
      <c r="G40" s="159"/>
      <c r="H40" s="160"/>
    </row>
    <row r="41" spans="2:8" ht="20.25" customHeight="1" x14ac:dyDescent="0.25">
      <c r="B41" s="158" t="s">
        <v>205</v>
      </c>
      <c r="C41" s="159"/>
      <c r="D41" s="159"/>
      <c r="E41" s="159"/>
      <c r="F41" s="159"/>
      <c r="G41" s="159"/>
      <c r="H41" s="160"/>
    </row>
    <row r="42" spans="2:8" ht="20.25" customHeight="1" x14ac:dyDescent="0.25">
      <c r="B42" s="158" t="s">
        <v>206</v>
      </c>
      <c r="C42" s="159"/>
      <c r="D42" s="159"/>
      <c r="E42" s="159"/>
      <c r="F42" s="159"/>
      <c r="G42" s="159"/>
      <c r="H42" s="160"/>
    </row>
    <row r="43" spans="2:8" ht="20.25" customHeight="1" x14ac:dyDescent="0.25">
      <c r="B43" s="158" t="s">
        <v>207</v>
      </c>
      <c r="C43" s="159"/>
      <c r="D43" s="159"/>
      <c r="E43" s="159"/>
      <c r="F43" s="159"/>
      <c r="G43" s="159"/>
      <c r="H43" s="160"/>
    </row>
    <row r="44" spans="2:8" x14ac:dyDescent="0.25">
      <c r="B44" s="158" t="s">
        <v>208</v>
      </c>
      <c r="C44" s="159"/>
      <c r="D44" s="159"/>
      <c r="E44" s="159"/>
      <c r="F44" s="159"/>
      <c r="G44" s="159"/>
      <c r="H44" s="160"/>
    </row>
    <row r="45" spans="2:8" ht="15.75" thickBot="1" x14ac:dyDescent="0.3">
      <c r="B45" s="128"/>
      <c r="C45" s="129"/>
      <c r="D45" s="129"/>
      <c r="E45" s="129"/>
      <c r="F45" s="129"/>
      <c r="G45" s="129"/>
      <c r="H45" s="130"/>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BP72"/>
  <sheetViews>
    <sheetView tabSelected="1" view="pageBreakPreview" topLeftCell="F1" zoomScale="60" zoomScaleNormal="60" workbookViewId="0">
      <selection activeCell="AL36" sqref="AL36"/>
    </sheetView>
  </sheetViews>
  <sheetFormatPr baseColWidth="10"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9"/>
      <c r="B3" s="30"/>
      <c r="C3" s="29"/>
      <c r="D3" s="29"/>
      <c r="E3" s="8"/>
      <c r="F3" s="2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28" t="s">
        <v>43</v>
      </c>
      <c r="B4" s="229"/>
      <c r="C4" s="187" t="s">
        <v>214</v>
      </c>
      <c r="D4" s="188"/>
      <c r="E4" s="188"/>
      <c r="F4" s="188"/>
      <c r="G4" s="188"/>
      <c r="H4" s="188"/>
      <c r="I4" s="188"/>
      <c r="J4" s="188"/>
      <c r="K4" s="188"/>
      <c r="L4" s="188"/>
      <c r="M4" s="188"/>
      <c r="N4" s="189"/>
      <c r="O4" s="190"/>
      <c r="P4" s="190"/>
      <c r="Q4" s="19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28" t="s">
        <v>130</v>
      </c>
      <c r="B5" s="229"/>
      <c r="C5" s="187" t="s">
        <v>215</v>
      </c>
      <c r="D5" s="188"/>
      <c r="E5" s="188"/>
      <c r="F5" s="188"/>
      <c r="G5" s="188"/>
      <c r="H5" s="188"/>
      <c r="I5" s="188"/>
      <c r="J5" s="188"/>
      <c r="K5" s="188"/>
      <c r="L5" s="188"/>
      <c r="M5" s="188"/>
      <c r="N5" s="18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8" t="s">
        <v>44</v>
      </c>
      <c r="B6" s="229"/>
      <c r="C6" s="238" t="s">
        <v>216</v>
      </c>
      <c r="D6" s="239"/>
      <c r="E6" s="239"/>
      <c r="F6" s="239"/>
      <c r="G6" s="239"/>
      <c r="H6" s="239"/>
      <c r="I6" s="239"/>
      <c r="J6" s="239"/>
      <c r="K6" s="239"/>
      <c r="L6" s="239"/>
      <c r="M6" s="239"/>
      <c r="N6" s="240"/>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97" t="s">
        <v>139</v>
      </c>
      <c r="B7" s="198"/>
      <c r="C7" s="198"/>
      <c r="D7" s="198"/>
      <c r="E7" s="198"/>
      <c r="F7" s="198"/>
      <c r="G7" s="199"/>
      <c r="H7" s="197" t="s">
        <v>140</v>
      </c>
      <c r="I7" s="198"/>
      <c r="J7" s="198"/>
      <c r="K7" s="198"/>
      <c r="L7" s="198"/>
      <c r="M7" s="198"/>
      <c r="N7" s="199"/>
      <c r="O7" s="197" t="s">
        <v>141</v>
      </c>
      <c r="P7" s="198"/>
      <c r="Q7" s="198"/>
      <c r="R7" s="198"/>
      <c r="S7" s="198"/>
      <c r="T7" s="198"/>
      <c r="U7" s="198"/>
      <c r="V7" s="198"/>
      <c r="W7" s="199"/>
      <c r="X7" s="197" t="s">
        <v>142</v>
      </c>
      <c r="Y7" s="198"/>
      <c r="Z7" s="198"/>
      <c r="AA7" s="198"/>
      <c r="AB7" s="198"/>
      <c r="AC7" s="198"/>
      <c r="AD7" s="199"/>
      <c r="AE7" s="197" t="s">
        <v>34</v>
      </c>
      <c r="AF7" s="198"/>
      <c r="AG7" s="198"/>
      <c r="AH7" s="198"/>
      <c r="AI7" s="198"/>
      <c r="AJ7" s="199"/>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30" t="s">
        <v>0</v>
      </c>
      <c r="B8" s="235" t="s">
        <v>2</v>
      </c>
      <c r="C8" s="233" t="s">
        <v>3</v>
      </c>
      <c r="D8" s="233" t="s">
        <v>42</v>
      </c>
      <c r="E8" s="234" t="s">
        <v>1</v>
      </c>
      <c r="F8" s="232" t="s">
        <v>50</v>
      </c>
      <c r="G8" s="233" t="s">
        <v>135</v>
      </c>
      <c r="H8" s="242" t="s">
        <v>33</v>
      </c>
      <c r="I8" s="243" t="s">
        <v>5</v>
      </c>
      <c r="J8" s="232" t="s">
        <v>87</v>
      </c>
      <c r="K8" s="232" t="s">
        <v>92</v>
      </c>
      <c r="L8" s="245" t="s">
        <v>45</v>
      </c>
      <c r="M8" s="243" t="s">
        <v>5</v>
      </c>
      <c r="N8" s="233" t="s">
        <v>48</v>
      </c>
      <c r="O8" s="236" t="s">
        <v>11</v>
      </c>
      <c r="P8" s="227" t="s">
        <v>163</v>
      </c>
      <c r="Q8" s="232" t="s">
        <v>12</v>
      </c>
      <c r="R8" s="227" t="s">
        <v>8</v>
      </c>
      <c r="S8" s="227"/>
      <c r="T8" s="227"/>
      <c r="U8" s="227"/>
      <c r="V8" s="227"/>
      <c r="W8" s="227"/>
      <c r="X8" s="241" t="s">
        <v>138</v>
      </c>
      <c r="Y8" s="241" t="s">
        <v>46</v>
      </c>
      <c r="Z8" s="241" t="s">
        <v>5</v>
      </c>
      <c r="AA8" s="241" t="s">
        <v>47</v>
      </c>
      <c r="AB8" s="241" t="s">
        <v>5</v>
      </c>
      <c r="AC8" s="241" t="s">
        <v>49</v>
      </c>
      <c r="AD8" s="236" t="s">
        <v>29</v>
      </c>
      <c r="AE8" s="227" t="s">
        <v>34</v>
      </c>
      <c r="AF8" s="227" t="s">
        <v>35</v>
      </c>
      <c r="AG8" s="227" t="s">
        <v>36</v>
      </c>
      <c r="AH8" s="227" t="s">
        <v>38</v>
      </c>
      <c r="AI8" s="227" t="s">
        <v>37</v>
      </c>
      <c r="AJ8" s="22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31"/>
      <c r="B9" s="235"/>
      <c r="C9" s="227"/>
      <c r="D9" s="227"/>
      <c r="E9" s="235"/>
      <c r="F9" s="233"/>
      <c r="G9" s="227"/>
      <c r="H9" s="233"/>
      <c r="I9" s="244"/>
      <c r="J9" s="233"/>
      <c r="K9" s="233"/>
      <c r="L9" s="244"/>
      <c r="M9" s="244"/>
      <c r="N9" s="227"/>
      <c r="O9" s="237"/>
      <c r="P9" s="227"/>
      <c r="Q9" s="233"/>
      <c r="R9" s="7" t="s">
        <v>13</v>
      </c>
      <c r="S9" s="7" t="s">
        <v>17</v>
      </c>
      <c r="T9" s="7" t="s">
        <v>28</v>
      </c>
      <c r="U9" s="7" t="s">
        <v>18</v>
      </c>
      <c r="V9" s="7" t="s">
        <v>21</v>
      </c>
      <c r="W9" s="7" t="s">
        <v>24</v>
      </c>
      <c r="X9" s="241"/>
      <c r="Y9" s="241"/>
      <c r="Z9" s="241"/>
      <c r="AA9" s="241"/>
      <c r="AB9" s="241"/>
      <c r="AC9" s="241"/>
      <c r="AD9" s="237"/>
      <c r="AE9" s="227"/>
      <c r="AF9" s="227"/>
      <c r="AG9" s="227"/>
      <c r="AH9" s="227"/>
      <c r="AI9" s="227"/>
      <c r="AJ9" s="227"/>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row>
    <row r="10" spans="1:68" s="3" customFormat="1" ht="167.25" customHeight="1" x14ac:dyDescent="0.25">
      <c r="A10" s="209">
        <v>1</v>
      </c>
      <c r="B10" s="212" t="s">
        <v>134</v>
      </c>
      <c r="C10" s="212" t="s">
        <v>217</v>
      </c>
      <c r="D10" s="212" t="s">
        <v>218</v>
      </c>
      <c r="E10" s="215" t="s">
        <v>219</v>
      </c>
      <c r="F10" s="212" t="s">
        <v>125</v>
      </c>
      <c r="G10" s="218">
        <v>20</v>
      </c>
      <c r="H10" s="221" t="str">
        <f>IF(G10&lt;=0,"",IF(G10&lt;=2,"Muy Baja",IF(G10&lt;=24,"Baja",IF(G10&lt;=500,"Media",IF(G10&lt;=5000,"Alta","Muy Alta")))))</f>
        <v>Baja</v>
      </c>
      <c r="I10" s="203">
        <f>IF(H10="","",IF(H10="Muy Baja",0.2,IF(H10="Baja",0.4,IF(H10="Media",0.6,IF(H10="Alta",0.8,IF(H10="Muy Alta",1,))))))</f>
        <v>0.4</v>
      </c>
      <c r="J10" s="224" t="s">
        <v>154</v>
      </c>
      <c r="K10" s="203" t="str">
        <f>IF(NOT(ISERROR(MATCH(J10,'Tabla Impacto'!$B$221:$B$223,0))),'Tabla Impacto'!$F$223&amp;"Por favor no seleccionar los criterios de impacto(Afectación Económica o presupuestal y Pérdida Reputacional)",J10)</f>
        <v xml:space="preserve">     El riesgo afecta la imagen de la entidad internamente, de conocimiento general, nivel interno, de junta dircetiva y accionistas y/o de provedores</v>
      </c>
      <c r="L10" s="221" t="str">
        <f>IF(OR(K10='Tabla Impacto'!$C$11,K10='Tabla Impacto'!$D$11),"Leve",IF(OR(K10='Tabla Impacto'!$C$12,K10='Tabla Impacto'!$D$12),"Menor",IF(OR(K10='Tabla Impacto'!$C$13,K10='Tabla Impacto'!$D$13),"Moderado",IF(OR(K10='Tabla Impacto'!$C$14,K10='Tabla Impacto'!$D$14),"Mayor",IF(OR(K10='Tabla Impacto'!$C$15,K10='Tabla Impacto'!$D$15),"Catastrófico","")))))</f>
        <v>Menor</v>
      </c>
      <c r="M10" s="203">
        <f>IF(L10="","",IF(L10="Leve",0.2,IF(L10="Menor",0.4,IF(L10="Moderado",0.6,IF(L10="Mayor",0.8,IF(L10="Catastrófico",1,))))))</f>
        <v>0.4</v>
      </c>
      <c r="N10" s="20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6">
        <v>1</v>
      </c>
      <c r="P10" s="137" t="s">
        <v>220</v>
      </c>
      <c r="Q10" s="51" t="str">
        <f>IF(OR(R10="Preventivo",R10="Detectivo"),"Probabilidad",IF(R10="Correctivo","Impacto",""))</f>
        <v>Probabilidad</v>
      </c>
      <c r="R10" s="52" t="s">
        <v>14</v>
      </c>
      <c r="S10" s="52" t="s">
        <v>9</v>
      </c>
      <c r="T10" s="53" t="str">
        <f>IF(AND(R10="Preventivo",S10="Automático"),"50%",IF(AND(R10="Preventivo",S10="Manual"),"40%",IF(AND(R10="Detectivo",S10="Automático"),"40%",IF(AND(R10="Detectivo",S10="Manual"),"30%",IF(AND(R10="Correctivo",S10="Automático"),"35%",IF(AND(R10="Correctivo",S10="Manual"),"25%",""))))))</f>
        <v>40%</v>
      </c>
      <c r="U10" s="52" t="s">
        <v>19</v>
      </c>
      <c r="V10" s="52" t="s">
        <v>22</v>
      </c>
      <c r="W10" s="52" t="s">
        <v>119</v>
      </c>
      <c r="X10" s="24">
        <f>IFERROR(IF(Q10="Probabilidad",(I10-(+I10*T10)),IF(Q10="Impacto",I10,"")),"")</f>
        <v>0.24</v>
      </c>
      <c r="Y10" s="54" t="str">
        <f>IFERROR(IF(X10="","",IF(X10&lt;=0.2,"Muy Baja",IF(X10&lt;=0.4,"Baja",IF(X10&lt;=0.6,"Media",IF(X10&lt;=0.8,"Alta","Muy Alta"))))),"")</f>
        <v>Baja</v>
      </c>
      <c r="Z10" s="55">
        <f>+X10</f>
        <v>0.24</v>
      </c>
      <c r="AA10" s="54" t="str">
        <f>IFERROR(IF(AB10="","",IF(AB10&lt;=0.2,"Leve",IF(AB10&lt;=0.4,"Menor",IF(AB10&lt;=0.6,"Moderado",IF(AB10&lt;=0.8,"Mayor","Catastrófico"))))),"")</f>
        <v>Menor</v>
      </c>
      <c r="AB10" s="55">
        <f>IFERROR(IF(Q10="Impacto",(M10-(+M10*T10)),IF(Q10="Probabilidad",M10,"")),"")</f>
        <v>0.4</v>
      </c>
      <c r="AC10" s="56"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57" t="s">
        <v>136</v>
      </c>
      <c r="AE10" s="139" t="s">
        <v>224</v>
      </c>
      <c r="AF10" s="139" t="s">
        <v>227</v>
      </c>
      <c r="AG10" s="143" t="s">
        <v>232</v>
      </c>
      <c r="AH10" s="59">
        <v>45291</v>
      </c>
      <c r="AI10" s="139" t="s">
        <v>292</v>
      </c>
      <c r="AJ10" s="48" t="s">
        <v>41</v>
      </c>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row>
    <row r="11" spans="1:68" ht="151.5" customHeight="1" x14ac:dyDescent="0.3">
      <c r="A11" s="210"/>
      <c r="B11" s="213"/>
      <c r="C11" s="213"/>
      <c r="D11" s="213"/>
      <c r="E11" s="216"/>
      <c r="F11" s="213"/>
      <c r="G11" s="219"/>
      <c r="H11" s="222"/>
      <c r="I11" s="204"/>
      <c r="J11" s="225"/>
      <c r="K11" s="204">
        <f>IF(NOT(ISERROR(MATCH(J11,_xlfn.ANCHORARRAY(E22),0))),I24&amp;"Por favor no seleccionar los criterios de impacto",J11)</f>
        <v>0</v>
      </c>
      <c r="L11" s="222"/>
      <c r="M11" s="204"/>
      <c r="N11" s="207"/>
      <c r="O11" s="6">
        <v>2</v>
      </c>
      <c r="P11" s="137" t="s">
        <v>221</v>
      </c>
      <c r="Q11" s="51" t="str">
        <f>IF(OR(R11="Preventivo",R11="Detectivo"),"Probabilidad",IF(R11="Correctivo","Impacto",""))</f>
        <v>Probabilidad</v>
      </c>
      <c r="R11" s="52" t="s">
        <v>14</v>
      </c>
      <c r="S11" s="52" t="s">
        <v>9</v>
      </c>
      <c r="T11" s="53" t="str">
        <f t="shared" ref="T11:T15" si="0">IF(AND(R11="Preventivo",S11="Automático"),"50%",IF(AND(R11="Preventivo",S11="Manual"),"40%",IF(AND(R11="Detectivo",S11="Automático"),"40%",IF(AND(R11="Detectivo",S11="Manual"),"30%",IF(AND(R11="Correctivo",S11="Automático"),"35%",IF(AND(R11="Correctivo",S11="Manual"),"25%",""))))))</f>
        <v>40%</v>
      </c>
      <c r="U11" s="52" t="s">
        <v>19</v>
      </c>
      <c r="V11" s="52" t="s">
        <v>22</v>
      </c>
      <c r="W11" s="52" t="s">
        <v>119</v>
      </c>
      <c r="X11" s="24">
        <f>IFERROR(IF(AND(Q10="Probabilidad",Q11="Probabilidad"),(Z10-(+Z10*T11)),IF(Q11="Probabilidad",(I10-(+I10*T11)),IF(Q11="Impacto",Z10,""))),"")</f>
        <v>0.14399999999999999</v>
      </c>
      <c r="Y11" s="54" t="str">
        <f t="shared" ref="Y11:Y69" si="1">IFERROR(IF(X11="","",IF(X11&lt;=0.2,"Muy Baja",IF(X11&lt;=0.4,"Baja",IF(X11&lt;=0.6,"Media",IF(X11&lt;=0.8,"Alta","Muy Alta"))))),"")</f>
        <v>Muy Baja</v>
      </c>
      <c r="Z11" s="55">
        <f t="shared" ref="Z11:Z15" si="2">+X11</f>
        <v>0.14399999999999999</v>
      </c>
      <c r="AA11" s="54" t="str">
        <f t="shared" ref="AA11:AA69" si="3">IFERROR(IF(AB11="","",IF(AB11&lt;=0.2,"Leve",IF(AB11&lt;=0.4,"Menor",IF(AB11&lt;=0.6,"Moderado",IF(AB11&lt;=0.8,"Mayor","Catastrófico"))))),"")</f>
        <v>Menor</v>
      </c>
      <c r="AB11" s="55">
        <f>IFERROR(IF(AND(Q10="Impacto",Q11="Impacto"),(AB10-(+AB10*T11)),IF(Q11="Impacto",($M$10-(+$M$10*T11)),IF(Q11="Probabilidad",AB10,""))),"")</f>
        <v>0.4</v>
      </c>
      <c r="AC11" s="56"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Bajo</v>
      </c>
      <c r="AD11" s="57" t="s">
        <v>136</v>
      </c>
      <c r="AE11" s="139" t="s">
        <v>225</v>
      </c>
      <c r="AF11" s="140" t="s">
        <v>230</v>
      </c>
      <c r="AG11" s="143" t="s">
        <v>232</v>
      </c>
      <c r="AH11" s="59">
        <v>45291</v>
      </c>
      <c r="AI11" s="140" t="s">
        <v>293</v>
      </c>
      <c r="AJ11" s="48" t="s">
        <v>40</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10"/>
      <c r="B12" s="213"/>
      <c r="C12" s="213"/>
      <c r="D12" s="213"/>
      <c r="E12" s="216"/>
      <c r="F12" s="213"/>
      <c r="G12" s="219"/>
      <c r="H12" s="222"/>
      <c r="I12" s="204"/>
      <c r="J12" s="225"/>
      <c r="K12" s="204">
        <f>IF(NOT(ISERROR(MATCH(J12,_xlfn.ANCHORARRAY(E23),0))),I25&amp;"Por favor no seleccionar los criterios de impacto",J12)</f>
        <v>0</v>
      </c>
      <c r="L12" s="222"/>
      <c r="M12" s="204"/>
      <c r="N12" s="207"/>
      <c r="O12" s="6">
        <v>3</v>
      </c>
      <c r="P12" s="138" t="s">
        <v>222</v>
      </c>
      <c r="Q12" s="51" t="str">
        <f>IF(OR(R12="Preventivo",R12="Detectivo"),"Probabilidad",IF(R12="Correctivo","Impacto",""))</f>
        <v>Probabilidad</v>
      </c>
      <c r="R12" s="52" t="s">
        <v>15</v>
      </c>
      <c r="S12" s="52" t="s">
        <v>9</v>
      </c>
      <c r="T12" s="53" t="str">
        <f t="shared" si="0"/>
        <v>30%</v>
      </c>
      <c r="U12" s="52" t="s">
        <v>19</v>
      </c>
      <c r="V12" s="52" t="s">
        <v>22</v>
      </c>
      <c r="W12" s="52" t="s">
        <v>119</v>
      </c>
      <c r="X12" s="24">
        <f>IFERROR(IF(AND(Q11="Probabilidad",Q12="Probabilidad"),(Z11-(+Z11*T12)),IF(AND(Q11="Impacto",Q12="Probabilidad"),(Z10-(+Z10*T12)),IF(Q12="Impacto",Z11,""))),"")</f>
        <v>0.1008</v>
      </c>
      <c r="Y12" s="54" t="str">
        <f t="shared" si="1"/>
        <v>Muy Baja</v>
      </c>
      <c r="Z12" s="55">
        <f t="shared" si="2"/>
        <v>0.1008</v>
      </c>
      <c r="AA12" s="54" t="str">
        <f t="shared" si="3"/>
        <v>Menor</v>
      </c>
      <c r="AB12" s="55">
        <f>IFERROR(IF(AND(Q11="Impacto",Q12="Impacto"),(AB11-(+AB11*T12)),IF(AND(Q11="Probabilidad",Q12="Impacto"),(AB10-(+AB10*T12)),IF(Q12="Probabilidad",AB11,""))),"")</f>
        <v>0.4</v>
      </c>
      <c r="AC12" s="56" t="str">
        <f t="shared" si="4"/>
        <v>Bajo</v>
      </c>
      <c r="AD12" s="57" t="s">
        <v>136</v>
      </c>
      <c r="AE12" s="140" t="s">
        <v>226</v>
      </c>
      <c r="AF12" s="140" t="s">
        <v>229</v>
      </c>
      <c r="AG12" s="143" t="s">
        <v>232</v>
      </c>
      <c r="AH12" s="59">
        <v>45291</v>
      </c>
      <c r="AI12" s="139" t="s">
        <v>294</v>
      </c>
      <c r="AJ12" s="48"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10"/>
      <c r="B13" s="213"/>
      <c r="C13" s="213"/>
      <c r="D13" s="213"/>
      <c r="E13" s="216"/>
      <c r="F13" s="213"/>
      <c r="G13" s="219"/>
      <c r="H13" s="222"/>
      <c r="I13" s="204"/>
      <c r="J13" s="225"/>
      <c r="K13" s="204">
        <f>IF(NOT(ISERROR(MATCH(J13,_xlfn.ANCHORARRAY(E24),0))),I26&amp;"Por favor no seleccionar los criterios de impacto",J13)</f>
        <v>0</v>
      </c>
      <c r="L13" s="222"/>
      <c r="M13" s="204"/>
      <c r="N13" s="207"/>
      <c r="O13" s="6">
        <v>4</v>
      </c>
      <c r="P13" s="137" t="s">
        <v>223</v>
      </c>
      <c r="Q13" s="51" t="str">
        <f t="shared" ref="Q13:Q15" si="5">IF(OR(R13="Preventivo",R13="Detectivo"),"Probabilidad",IF(R13="Correctivo","Impacto",""))</f>
        <v>Probabilidad</v>
      </c>
      <c r="R13" s="52" t="s">
        <v>14</v>
      </c>
      <c r="S13" s="52" t="s">
        <v>9</v>
      </c>
      <c r="T13" s="53" t="str">
        <f t="shared" si="0"/>
        <v>40%</v>
      </c>
      <c r="U13" s="52" t="s">
        <v>19</v>
      </c>
      <c r="V13" s="52" t="s">
        <v>22</v>
      </c>
      <c r="W13" s="52" t="s">
        <v>119</v>
      </c>
      <c r="X13" s="24">
        <f t="shared" ref="X13:X15" si="6">IFERROR(IF(AND(Q12="Probabilidad",Q13="Probabilidad"),(Z12-(+Z12*T13)),IF(AND(Q12="Impacto",Q13="Probabilidad"),(Z11-(+Z11*T13)),IF(Q13="Impacto",Z12,""))),"")</f>
        <v>6.0479999999999999E-2</v>
      </c>
      <c r="Y13" s="54" t="str">
        <f t="shared" si="1"/>
        <v>Muy Baja</v>
      </c>
      <c r="Z13" s="55">
        <f t="shared" si="2"/>
        <v>6.0479999999999999E-2</v>
      </c>
      <c r="AA13" s="54" t="str">
        <f t="shared" si="3"/>
        <v>Menor</v>
      </c>
      <c r="AB13" s="55">
        <f t="shared" ref="AB13:AB15" si="7">IFERROR(IF(AND(Q12="Impacto",Q13="Impacto"),(AB12-(+AB12*T13)),IF(AND(Q12="Probabilidad",Q13="Impacto"),(AB11-(+AB11*T13)),IF(Q13="Probabilidad",AB12,""))),"")</f>
        <v>0.4</v>
      </c>
      <c r="AC13" s="56"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Bajo</v>
      </c>
      <c r="AD13" s="57" t="s">
        <v>136</v>
      </c>
      <c r="AE13" s="139" t="s">
        <v>295</v>
      </c>
      <c r="AF13" s="139" t="s">
        <v>228</v>
      </c>
      <c r="AG13" s="144" t="s">
        <v>232</v>
      </c>
      <c r="AH13" s="59">
        <v>45291</v>
      </c>
      <c r="AI13" s="139" t="s">
        <v>296</v>
      </c>
      <c r="AJ13" s="48" t="s">
        <v>40</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10"/>
      <c r="B14" s="213"/>
      <c r="C14" s="213"/>
      <c r="D14" s="213"/>
      <c r="E14" s="216"/>
      <c r="F14" s="213"/>
      <c r="G14" s="219"/>
      <c r="H14" s="222"/>
      <c r="I14" s="204"/>
      <c r="J14" s="225"/>
      <c r="K14" s="204">
        <f>IF(NOT(ISERROR(MATCH(J14,_xlfn.ANCHORARRAY(E25),0))),I27&amp;"Por favor no seleccionar los criterios de impacto",J14)</f>
        <v>0</v>
      </c>
      <c r="L14" s="222"/>
      <c r="M14" s="204"/>
      <c r="N14" s="207"/>
      <c r="O14" s="6">
        <v>5</v>
      </c>
      <c r="P14" s="137" t="s">
        <v>297</v>
      </c>
      <c r="Q14" s="51" t="str">
        <f t="shared" si="5"/>
        <v>Probabilidad</v>
      </c>
      <c r="R14" s="52" t="s">
        <v>14</v>
      </c>
      <c r="S14" s="52" t="s">
        <v>9</v>
      </c>
      <c r="T14" s="53" t="str">
        <f t="shared" si="0"/>
        <v>40%</v>
      </c>
      <c r="U14" s="52" t="s">
        <v>19</v>
      </c>
      <c r="V14" s="52" t="s">
        <v>22</v>
      </c>
      <c r="W14" s="52" t="s">
        <v>119</v>
      </c>
      <c r="X14" s="24">
        <f t="shared" si="6"/>
        <v>3.6288000000000001E-2</v>
      </c>
      <c r="Y14" s="54" t="str">
        <f t="shared" si="1"/>
        <v>Muy Baja</v>
      </c>
      <c r="Z14" s="55">
        <f t="shared" si="2"/>
        <v>3.6288000000000001E-2</v>
      </c>
      <c r="AA14" s="54" t="str">
        <f t="shared" si="3"/>
        <v>Menor</v>
      </c>
      <c r="AB14" s="55">
        <f t="shared" si="7"/>
        <v>0.4</v>
      </c>
      <c r="AC14" s="56" t="str">
        <f t="shared" si="4"/>
        <v>Bajo</v>
      </c>
      <c r="AD14" s="57" t="s">
        <v>136</v>
      </c>
      <c r="AE14" s="139" t="s">
        <v>298</v>
      </c>
      <c r="AF14" s="139" t="s">
        <v>231</v>
      </c>
      <c r="AG14" s="144" t="s">
        <v>232</v>
      </c>
      <c r="AH14" s="59">
        <v>45291</v>
      </c>
      <c r="AI14" s="139" t="s">
        <v>299</v>
      </c>
      <c r="AJ14" s="48" t="s">
        <v>41</v>
      </c>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11"/>
      <c r="B15" s="214"/>
      <c r="C15" s="214"/>
      <c r="D15" s="214"/>
      <c r="E15" s="217"/>
      <c r="F15" s="214"/>
      <c r="G15" s="220"/>
      <c r="H15" s="223"/>
      <c r="I15" s="205"/>
      <c r="J15" s="226"/>
      <c r="K15" s="205">
        <f>IF(NOT(ISERROR(MATCH(J15,_xlfn.ANCHORARRAY(E26),0))),I28&amp;"Por favor no seleccionar los criterios de impacto",J15)</f>
        <v>0</v>
      </c>
      <c r="L15" s="223"/>
      <c r="M15" s="205"/>
      <c r="N15" s="208"/>
      <c r="O15" s="6">
        <v>6</v>
      </c>
      <c r="P15" s="49"/>
      <c r="Q15" s="51" t="str">
        <f t="shared" si="5"/>
        <v/>
      </c>
      <c r="R15" s="52"/>
      <c r="S15" s="52"/>
      <c r="T15" s="53" t="str">
        <f t="shared" si="0"/>
        <v/>
      </c>
      <c r="U15" s="52"/>
      <c r="V15" s="52"/>
      <c r="W15" s="52"/>
      <c r="X15" s="24" t="str">
        <f t="shared" si="6"/>
        <v/>
      </c>
      <c r="Y15" s="54" t="str">
        <f t="shared" si="1"/>
        <v/>
      </c>
      <c r="Z15" s="55" t="str">
        <f t="shared" si="2"/>
        <v/>
      </c>
      <c r="AA15" s="54" t="str">
        <f t="shared" si="3"/>
        <v/>
      </c>
      <c r="AB15" s="55" t="str">
        <f t="shared" si="7"/>
        <v/>
      </c>
      <c r="AC15" s="56" t="str">
        <f t="shared" si="4"/>
        <v/>
      </c>
      <c r="AD15" s="57"/>
      <c r="AE15" s="58"/>
      <c r="AF15" s="48"/>
      <c r="AG15" s="59"/>
      <c r="AH15" s="59"/>
      <c r="AI15" s="58"/>
      <c r="AJ15" s="4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09">
        <v>2</v>
      </c>
      <c r="B16" s="212" t="s">
        <v>133</v>
      </c>
      <c r="C16" s="212" t="s">
        <v>233</v>
      </c>
      <c r="D16" s="212" t="s">
        <v>234</v>
      </c>
      <c r="E16" s="215" t="s">
        <v>235</v>
      </c>
      <c r="F16" s="212" t="s">
        <v>126</v>
      </c>
      <c r="G16" s="218">
        <v>20</v>
      </c>
      <c r="H16" s="221" t="str">
        <f>IF(G16&lt;=0,"",IF(G16&lt;=2,"Muy Baja",IF(G16&lt;=24,"Baja",IF(G16&lt;=500,"Media",IF(G16&lt;=5000,"Alta","Muy Alta")))))</f>
        <v>Baja</v>
      </c>
      <c r="I16" s="203">
        <f>IF(H16="","",IF(H16="Muy Baja",0.2,IF(H16="Baja",0.4,IF(H16="Media",0.6,IF(H16="Alta",0.8,IF(H16="Muy Alta",1,))))))</f>
        <v>0.4</v>
      </c>
      <c r="J16" s="224" t="s">
        <v>155</v>
      </c>
      <c r="K16" s="203" t="str">
        <f>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21" t="str">
        <f>IF(OR(K16='Tabla Impacto'!$C$11,K16='Tabla Impacto'!$D$11),"Leve",IF(OR(K16='Tabla Impacto'!$C$12,K16='Tabla Impacto'!$D$12),"Menor",IF(OR(K16='Tabla Impacto'!$C$13,K16='Tabla Impacto'!$D$13),"Moderado",IF(OR(K16='Tabla Impacto'!$C$14,K16='Tabla Impacto'!$D$14),"Mayor",IF(OR(K16='Tabla Impacto'!$C$15,K16='Tabla Impacto'!$D$15),"Catastrófico","")))))</f>
        <v>Moderado</v>
      </c>
      <c r="M16" s="203">
        <f>IF(L16="","",IF(L16="Leve",0.2,IF(L16="Menor",0.4,IF(L16="Moderado",0.6,IF(L16="Mayor",0.8,IF(L16="Catastrófico",1,))))))</f>
        <v>0.6</v>
      </c>
      <c r="N16" s="20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6">
        <v>1</v>
      </c>
      <c r="P16" s="145" t="s">
        <v>236</v>
      </c>
      <c r="Q16" s="51" t="str">
        <f>IF(OR(R16="Preventivo",R16="Detectivo"),"Probabilidad",IF(R16="Correctivo","Impacto",""))</f>
        <v>Probabilidad</v>
      </c>
      <c r="R16" s="52" t="s">
        <v>14</v>
      </c>
      <c r="S16" s="52" t="s">
        <v>9</v>
      </c>
      <c r="T16" s="53" t="str">
        <f>IF(AND(R16="Preventivo",S16="Automático"),"50%",IF(AND(R16="Preventivo",S16="Manual"),"40%",IF(AND(R16="Detectivo",S16="Automático"),"40%",IF(AND(R16="Detectivo",S16="Manual"),"30%",IF(AND(R16="Correctivo",S16="Automático"),"35%",IF(AND(R16="Correctivo",S16="Manual"),"25%",""))))))</f>
        <v>40%</v>
      </c>
      <c r="U16" s="52" t="s">
        <v>19</v>
      </c>
      <c r="V16" s="52" t="s">
        <v>22</v>
      </c>
      <c r="W16" s="52" t="s">
        <v>119</v>
      </c>
      <c r="X16" s="24">
        <f>IFERROR(IF(Q16="Probabilidad",(I16-(+I16*T16)),IF(Q16="Impacto",I16,"")),"")</f>
        <v>0.24</v>
      </c>
      <c r="Y16" s="54" t="str">
        <f>IFERROR(IF(X16="","",IF(X16&lt;=0.2,"Muy Baja",IF(X16&lt;=0.4,"Baja",IF(X16&lt;=0.6,"Media",IF(X16&lt;=0.8,"Alta","Muy Alta"))))),"")</f>
        <v>Baja</v>
      </c>
      <c r="Z16" s="55">
        <f>+X16</f>
        <v>0.24</v>
      </c>
      <c r="AA16" s="54" t="str">
        <f>IFERROR(IF(AB16="","",IF(AB16&lt;=0.2,"Leve",IF(AB16&lt;=0.4,"Menor",IF(AB16&lt;=0.6,"Moderado",IF(AB16&lt;=0.8,"Mayor","Catastrófico"))))),"")</f>
        <v>Moderado</v>
      </c>
      <c r="AB16" s="55">
        <f>IFERROR(IF(Q16="Impacto",(M16-(+M16*T16)),IF(Q16="Probabilidad",M16,"")),"")</f>
        <v>0.6</v>
      </c>
      <c r="AC16" s="56"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57" t="s">
        <v>136</v>
      </c>
      <c r="AE16" s="139" t="s">
        <v>239</v>
      </c>
      <c r="AF16" s="139" t="s">
        <v>240</v>
      </c>
      <c r="AG16" s="139" t="s">
        <v>241</v>
      </c>
      <c r="AH16" s="59">
        <v>45291</v>
      </c>
      <c r="AI16" s="139" t="s">
        <v>300</v>
      </c>
      <c r="AJ16" s="48"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10"/>
      <c r="B17" s="213"/>
      <c r="C17" s="213"/>
      <c r="D17" s="213"/>
      <c r="E17" s="216"/>
      <c r="F17" s="213"/>
      <c r="G17" s="219"/>
      <c r="H17" s="222"/>
      <c r="I17" s="204"/>
      <c r="J17" s="225"/>
      <c r="K17" s="204">
        <f>IF(NOT(ISERROR(MATCH(J17,_xlfn.ANCHORARRAY(E28),0))),I30&amp;"Por favor no seleccionar los criterios de impacto",J17)</f>
        <v>0</v>
      </c>
      <c r="L17" s="222"/>
      <c r="M17" s="204"/>
      <c r="N17" s="207"/>
      <c r="O17" s="6">
        <v>2</v>
      </c>
      <c r="P17" s="145" t="s">
        <v>237</v>
      </c>
      <c r="Q17" s="51" t="str">
        <f>IF(OR(R17="Preventivo",R17="Detectivo"),"Probabilidad",IF(R17="Correctivo","Impacto",""))</f>
        <v>Probabilidad</v>
      </c>
      <c r="R17" s="52" t="s">
        <v>14</v>
      </c>
      <c r="S17" s="52" t="s">
        <v>9</v>
      </c>
      <c r="T17" s="53" t="str">
        <f t="shared" ref="T17:T21" si="8">IF(AND(R17="Preventivo",S17="Automático"),"50%",IF(AND(R17="Preventivo",S17="Manual"),"40%",IF(AND(R17="Detectivo",S17="Automático"),"40%",IF(AND(R17="Detectivo",S17="Manual"),"30%",IF(AND(R17="Correctivo",S17="Automático"),"35%",IF(AND(R17="Correctivo",S17="Manual"),"25%",""))))))</f>
        <v>40%</v>
      </c>
      <c r="U17" s="52" t="s">
        <v>19</v>
      </c>
      <c r="V17" s="52" t="s">
        <v>22</v>
      </c>
      <c r="W17" s="52" t="s">
        <v>119</v>
      </c>
      <c r="X17" s="24">
        <f>IFERROR(IF(AND(Q16="Probabilidad",Q17="Probabilidad"),(Z16-(+Z16*T17)),IF(Q17="Probabilidad",(I16-(+I16*T17)),IF(Q17="Impacto",Z16,""))),"")</f>
        <v>0.14399999999999999</v>
      </c>
      <c r="Y17" s="54" t="str">
        <f t="shared" si="1"/>
        <v>Muy Baja</v>
      </c>
      <c r="Z17" s="55">
        <f t="shared" ref="Z17:Z21" si="9">+X17</f>
        <v>0.14399999999999999</v>
      </c>
      <c r="AA17" s="54" t="str">
        <f t="shared" si="3"/>
        <v>Menor</v>
      </c>
      <c r="AB17" s="55">
        <f>IFERROR(IF(AND(Q16="Impacto",Q17="Impacto"),(AB10-(+AB10*T17)),IF(Q17="Impacto",($M$16-(+$M$16*T17)),IF(Q17="Probabilidad",AB10,""))),"")</f>
        <v>0.4</v>
      </c>
      <c r="AC17" s="56"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Bajo</v>
      </c>
      <c r="AD17" s="57" t="s">
        <v>136</v>
      </c>
      <c r="AE17" s="139" t="s">
        <v>301</v>
      </c>
      <c r="AF17" s="139" t="s">
        <v>242</v>
      </c>
      <c r="AG17" s="144" t="s">
        <v>243</v>
      </c>
      <c r="AH17" s="59">
        <v>45291</v>
      </c>
      <c r="AI17" s="139" t="s">
        <v>302</v>
      </c>
      <c r="AJ17" s="48"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10"/>
      <c r="B18" s="213"/>
      <c r="C18" s="213"/>
      <c r="D18" s="213"/>
      <c r="E18" s="216"/>
      <c r="F18" s="213"/>
      <c r="G18" s="219"/>
      <c r="H18" s="222"/>
      <c r="I18" s="204"/>
      <c r="J18" s="225"/>
      <c r="K18" s="204">
        <f>IF(NOT(ISERROR(MATCH(J18,_xlfn.ANCHORARRAY(E29),0))),I31&amp;"Por favor no seleccionar los criterios de impacto",J18)</f>
        <v>0</v>
      </c>
      <c r="L18" s="222"/>
      <c r="M18" s="204"/>
      <c r="N18" s="207"/>
      <c r="O18" s="6">
        <v>3</v>
      </c>
      <c r="P18" s="146" t="s">
        <v>304</v>
      </c>
      <c r="Q18" s="51" t="str">
        <f>IF(OR(R18="Preventivo",R18="Detectivo"),"Probabilidad",IF(R18="Correctivo","Impacto",""))</f>
        <v>Probabilidad</v>
      </c>
      <c r="R18" s="52" t="s">
        <v>14</v>
      </c>
      <c r="S18" s="52" t="s">
        <v>9</v>
      </c>
      <c r="T18" s="53" t="str">
        <f t="shared" si="8"/>
        <v>40%</v>
      </c>
      <c r="U18" s="52" t="s">
        <v>19</v>
      </c>
      <c r="V18" s="52" t="s">
        <v>22</v>
      </c>
      <c r="W18" s="52" t="s">
        <v>119</v>
      </c>
      <c r="X18" s="24">
        <f>IFERROR(IF(AND(Q17="Probabilidad",Q18="Probabilidad"),(Z17-(+Z17*T18)),IF(AND(Q17="Impacto",Q18="Probabilidad"),(Z16-(+Z16*T18)),IF(Q18="Impacto",Z17,""))),"")</f>
        <v>8.6399999999999991E-2</v>
      </c>
      <c r="Y18" s="54" t="str">
        <f t="shared" si="1"/>
        <v>Muy Baja</v>
      </c>
      <c r="Z18" s="55">
        <f t="shared" si="9"/>
        <v>8.6399999999999991E-2</v>
      </c>
      <c r="AA18" s="54" t="str">
        <f t="shared" si="3"/>
        <v>Menor</v>
      </c>
      <c r="AB18" s="55">
        <f>IFERROR(IF(AND(Q17="Impacto",Q18="Impacto"),(AB17-(+AB17*T18)),IF(AND(Q17="Probabilidad",Q18="Impacto"),(AB16-(+AB16*T18)),IF(Q18="Probabilidad",AB17,""))),"")</f>
        <v>0.4</v>
      </c>
      <c r="AC18" s="56" t="str">
        <f t="shared" si="10"/>
        <v>Bajo</v>
      </c>
      <c r="AD18" s="57" t="s">
        <v>136</v>
      </c>
      <c r="AE18" s="139" t="s">
        <v>244</v>
      </c>
      <c r="AF18" s="139" t="s">
        <v>245</v>
      </c>
      <c r="AG18" s="144" t="s">
        <v>243</v>
      </c>
      <c r="AH18" s="59">
        <v>45291</v>
      </c>
      <c r="AI18" s="139" t="s">
        <v>303</v>
      </c>
      <c r="AJ18" s="48" t="s">
        <v>41</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10"/>
      <c r="B19" s="213"/>
      <c r="C19" s="213"/>
      <c r="D19" s="213"/>
      <c r="E19" s="216"/>
      <c r="F19" s="213"/>
      <c r="G19" s="219"/>
      <c r="H19" s="222"/>
      <c r="I19" s="204"/>
      <c r="J19" s="225"/>
      <c r="K19" s="204">
        <f>IF(NOT(ISERROR(MATCH(J19,_xlfn.ANCHORARRAY(E30),0))),I32&amp;"Por favor no seleccionar los criterios de impacto",J19)</f>
        <v>0</v>
      </c>
      <c r="L19" s="222"/>
      <c r="M19" s="204"/>
      <c r="N19" s="207"/>
      <c r="O19" s="6">
        <v>4</v>
      </c>
      <c r="P19" s="146" t="s">
        <v>305</v>
      </c>
      <c r="Q19" s="51" t="str">
        <f t="shared" ref="Q19:Q21" si="11">IF(OR(R19="Preventivo",R19="Detectivo"),"Probabilidad",IF(R19="Correctivo","Impacto",""))</f>
        <v>Probabilidad</v>
      </c>
      <c r="R19" s="52" t="s">
        <v>15</v>
      </c>
      <c r="S19" s="52" t="s">
        <v>9</v>
      </c>
      <c r="T19" s="53" t="str">
        <f t="shared" si="8"/>
        <v>30%</v>
      </c>
      <c r="U19" s="52" t="s">
        <v>19</v>
      </c>
      <c r="V19" s="52" t="s">
        <v>22</v>
      </c>
      <c r="W19" s="52" t="s">
        <v>119</v>
      </c>
      <c r="X19" s="24">
        <f t="shared" ref="X19:X21" si="12">IFERROR(IF(AND(Q18="Probabilidad",Q19="Probabilidad"),(Z18-(+Z18*T19)),IF(AND(Q18="Impacto",Q19="Probabilidad"),(Z17-(+Z17*T19)),IF(Q19="Impacto",Z18,""))),"")</f>
        <v>6.0479999999999992E-2</v>
      </c>
      <c r="Y19" s="54" t="str">
        <f t="shared" si="1"/>
        <v>Muy Baja</v>
      </c>
      <c r="Z19" s="55">
        <f t="shared" si="9"/>
        <v>6.0479999999999992E-2</v>
      </c>
      <c r="AA19" s="54" t="str">
        <f t="shared" si="3"/>
        <v>Menor</v>
      </c>
      <c r="AB19" s="55">
        <f t="shared" ref="AB19:AB21" si="13">IFERROR(IF(AND(Q18="Impacto",Q19="Impacto"),(AB18-(+AB18*T19)),IF(AND(Q18="Probabilidad",Q19="Impacto"),(AB17-(+AB17*T19)),IF(Q19="Probabilidad",AB18,""))),"")</f>
        <v>0.4</v>
      </c>
      <c r="AC19" s="56"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Bajo</v>
      </c>
      <c r="AD19" s="57" t="s">
        <v>136</v>
      </c>
      <c r="AE19" s="139" t="s">
        <v>246</v>
      </c>
      <c r="AF19" s="142" t="s">
        <v>247</v>
      </c>
      <c r="AG19" s="144" t="s">
        <v>232</v>
      </c>
      <c r="AH19" s="59">
        <v>45291</v>
      </c>
      <c r="AI19" s="139" t="s">
        <v>306</v>
      </c>
      <c r="AJ19" s="48" t="s">
        <v>40</v>
      </c>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10"/>
      <c r="B20" s="213"/>
      <c r="C20" s="213"/>
      <c r="D20" s="213"/>
      <c r="E20" s="216"/>
      <c r="F20" s="213"/>
      <c r="G20" s="219"/>
      <c r="H20" s="222"/>
      <c r="I20" s="204"/>
      <c r="J20" s="225"/>
      <c r="K20" s="204">
        <f>IF(NOT(ISERROR(MATCH(J20,_xlfn.ANCHORARRAY(E31),0))),I33&amp;"Por favor no seleccionar los criterios de impacto",J20)</f>
        <v>0</v>
      </c>
      <c r="L20" s="222"/>
      <c r="M20" s="204"/>
      <c r="N20" s="207"/>
      <c r="O20" s="6">
        <v>5</v>
      </c>
      <c r="P20" s="146" t="s">
        <v>238</v>
      </c>
      <c r="Q20" s="51" t="str">
        <f t="shared" si="11"/>
        <v>Probabilidad</v>
      </c>
      <c r="R20" s="52" t="s">
        <v>14</v>
      </c>
      <c r="S20" s="52" t="s">
        <v>9</v>
      </c>
      <c r="T20" s="53" t="str">
        <f t="shared" si="8"/>
        <v>40%</v>
      </c>
      <c r="U20" s="52" t="s">
        <v>19</v>
      </c>
      <c r="V20" s="52" t="s">
        <v>22</v>
      </c>
      <c r="W20" s="52" t="s">
        <v>119</v>
      </c>
      <c r="X20" s="24">
        <f t="shared" si="12"/>
        <v>3.6287999999999994E-2</v>
      </c>
      <c r="Y20" s="54" t="str">
        <f t="shared" si="1"/>
        <v>Muy Baja</v>
      </c>
      <c r="Z20" s="55">
        <f t="shared" si="9"/>
        <v>3.6287999999999994E-2</v>
      </c>
      <c r="AA20" s="54" t="str">
        <f t="shared" si="3"/>
        <v>Menor</v>
      </c>
      <c r="AB20" s="55">
        <f t="shared" si="13"/>
        <v>0.4</v>
      </c>
      <c r="AC20" s="56"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Bajo</v>
      </c>
      <c r="AD20" s="57" t="s">
        <v>136</v>
      </c>
      <c r="AE20" s="139" t="s">
        <v>248</v>
      </c>
      <c r="AF20" s="142" t="s">
        <v>247</v>
      </c>
      <c r="AG20" s="144" t="s">
        <v>243</v>
      </c>
      <c r="AH20" s="59">
        <v>45291</v>
      </c>
      <c r="AI20" s="139" t="s">
        <v>307</v>
      </c>
      <c r="AJ20" s="48" t="s">
        <v>40</v>
      </c>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11"/>
      <c r="B21" s="214"/>
      <c r="C21" s="214"/>
      <c r="D21" s="214"/>
      <c r="E21" s="217"/>
      <c r="F21" s="214"/>
      <c r="G21" s="220"/>
      <c r="H21" s="223"/>
      <c r="I21" s="205"/>
      <c r="J21" s="226"/>
      <c r="K21" s="205">
        <f>IF(NOT(ISERROR(MATCH(J21,_xlfn.ANCHORARRAY(E32),0))),I34&amp;"Por favor no seleccionar los criterios de impacto",J21)</f>
        <v>0</v>
      </c>
      <c r="L21" s="223"/>
      <c r="M21" s="205"/>
      <c r="N21" s="208"/>
      <c r="O21" s="6">
        <v>6</v>
      </c>
      <c r="P21" s="49"/>
      <c r="Q21" s="51" t="str">
        <f t="shared" si="11"/>
        <v/>
      </c>
      <c r="R21" s="52"/>
      <c r="S21" s="52"/>
      <c r="T21" s="53" t="str">
        <f t="shared" si="8"/>
        <v/>
      </c>
      <c r="U21" s="52"/>
      <c r="V21" s="52"/>
      <c r="W21" s="52"/>
      <c r="X21" s="24" t="str">
        <f t="shared" si="12"/>
        <v/>
      </c>
      <c r="Y21" s="54" t="str">
        <f t="shared" si="1"/>
        <v/>
      </c>
      <c r="Z21" s="55" t="str">
        <f t="shared" si="9"/>
        <v/>
      </c>
      <c r="AA21" s="54" t="str">
        <f t="shared" si="3"/>
        <v/>
      </c>
      <c r="AB21" s="55" t="str">
        <f t="shared" si="13"/>
        <v/>
      </c>
      <c r="AC21" s="56" t="str">
        <f t="shared" si="14"/>
        <v/>
      </c>
      <c r="AD21" s="57"/>
      <c r="AE21" s="58"/>
      <c r="AF21" s="48"/>
      <c r="AG21" s="59"/>
      <c r="AH21" s="59"/>
      <c r="AI21" s="58"/>
      <c r="AJ21" s="4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09">
        <v>3</v>
      </c>
      <c r="B22" s="212" t="s">
        <v>133</v>
      </c>
      <c r="C22" s="212" t="s">
        <v>249</v>
      </c>
      <c r="D22" s="212" t="s">
        <v>250</v>
      </c>
      <c r="E22" s="215" t="s">
        <v>251</v>
      </c>
      <c r="F22" s="212" t="s">
        <v>125</v>
      </c>
      <c r="G22" s="218">
        <v>20</v>
      </c>
      <c r="H22" s="221" t="str">
        <f>IF(G22&lt;=0,"",IF(G22&lt;=2,"Muy Baja",IF(G22&lt;=24,"Baja",IF(G22&lt;=500,"Media",IF(G22&lt;=5000,"Alta","Muy Alta")))))</f>
        <v>Baja</v>
      </c>
      <c r="I22" s="203">
        <f>IF(H22="","",IF(H22="Muy Baja",0.2,IF(H22="Baja",0.4,IF(H22="Media",0.6,IF(H22="Alta",0.8,IF(H22="Muy Alta",1,))))))</f>
        <v>0.4</v>
      </c>
      <c r="J22" s="224" t="s">
        <v>146</v>
      </c>
      <c r="K22" s="203" t="str">
        <f>IF(NOT(ISERROR(MATCH(J22,'Tabla Impacto'!$B$221:$B$223,0))),'Tabla Impacto'!$F$223&amp;"Por favor no seleccionar los criterios de impacto(Afectación Económica o presupuestal y Pérdida Reputacional)",J22)</f>
        <v xml:space="preserve">     Afectación menor a 10 SMLMV .</v>
      </c>
      <c r="L22" s="221" t="str">
        <f>IF(OR(K22='Tabla Impacto'!$C$11,K22='Tabla Impacto'!$D$11),"Leve",IF(OR(K22='Tabla Impacto'!$C$12,K22='Tabla Impacto'!$D$12),"Menor",IF(OR(K22='Tabla Impacto'!$C$13,K22='Tabla Impacto'!$D$13),"Moderado",IF(OR(K22='Tabla Impacto'!$C$14,K22='Tabla Impacto'!$D$14),"Mayor",IF(OR(K22='Tabla Impacto'!$C$15,K22='Tabla Impacto'!$D$15),"Catastrófico","")))))</f>
        <v>Leve</v>
      </c>
      <c r="M22" s="203">
        <f>IF(L22="","",IF(L22="Leve",0.2,IF(L22="Menor",0.4,IF(L22="Moderado",0.6,IF(L22="Mayor",0.8,IF(L22="Catastrófico",1,))))))</f>
        <v>0.2</v>
      </c>
      <c r="N22" s="20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Bajo</v>
      </c>
      <c r="O22" s="6">
        <v>1</v>
      </c>
      <c r="P22" s="145" t="s">
        <v>308</v>
      </c>
      <c r="Q22" s="51" t="str">
        <f>IF(OR(R22="Preventivo",R22="Detectivo"),"Probabilidad",IF(R22="Correctivo","Impacto",""))</f>
        <v>Probabilidad</v>
      </c>
      <c r="R22" s="52" t="s">
        <v>14</v>
      </c>
      <c r="S22" s="52" t="s">
        <v>9</v>
      </c>
      <c r="T22" s="53" t="str">
        <f>IF(AND(R22="Preventivo",S22="Automático"),"50%",IF(AND(R22="Preventivo",S22="Manual"),"40%",IF(AND(R22="Detectivo",S22="Automático"),"40%",IF(AND(R22="Detectivo",S22="Manual"),"30%",IF(AND(R22="Correctivo",S22="Automático"),"35%",IF(AND(R22="Correctivo",S22="Manual"),"25%",""))))))</f>
        <v>40%</v>
      </c>
      <c r="U22" s="52" t="s">
        <v>19</v>
      </c>
      <c r="V22" s="52" t="s">
        <v>22</v>
      </c>
      <c r="W22" s="52" t="s">
        <v>119</v>
      </c>
      <c r="X22" s="24">
        <f>IFERROR(IF(Q22="Probabilidad",(I22-(+I22*T22)),IF(Q22="Impacto",I22,"")),"")</f>
        <v>0.24</v>
      </c>
      <c r="Y22" s="54" t="str">
        <f>IFERROR(IF(X22="","",IF(X22&lt;=0.2,"Muy Baja",IF(X22&lt;=0.4,"Baja",IF(X22&lt;=0.6,"Media",IF(X22&lt;=0.8,"Alta","Muy Alta"))))),"")</f>
        <v>Baja</v>
      </c>
      <c r="Z22" s="55">
        <f>+X22</f>
        <v>0.24</v>
      </c>
      <c r="AA22" s="54" t="str">
        <f>IFERROR(IF(AB22="","",IF(AB22&lt;=0.2,"Leve",IF(AB22&lt;=0.4,"Menor",IF(AB22&lt;=0.6,"Moderado",IF(AB22&lt;=0.8,"Mayor","Catastrófico"))))),"")</f>
        <v>Leve</v>
      </c>
      <c r="AB22" s="55">
        <f>IFERROR(IF(Q22="Impacto",(M22-(+M22*T22)),IF(Q22="Probabilidad",M22,"")),"")</f>
        <v>0.2</v>
      </c>
      <c r="AC22" s="56"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Bajo</v>
      </c>
      <c r="AD22" s="57" t="s">
        <v>136</v>
      </c>
      <c r="AE22" s="139" t="s">
        <v>255</v>
      </c>
      <c r="AF22" s="139" t="s">
        <v>256</v>
      </c>
      <c r="AG22" s="144" t="s">
        <v>243</v>
      </c>
      <c r="AH22" s="59">
        <v>45291</v>
      </c>
      <c r="AI22" s="139" t="s">
        <v>309</v>
      </c>
      <c r="AJ22" s="48"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10"/>
      <c r="B23" s="213"/>
      <c r="C23" s="213"/>
      <c r="D23" s="213"/>
      <c r="E23" s="216"/>
      <c r="F23" s="213"/>
      <c r="G23" s="219"/>
      <c r="H23" s="222"/>
      <c r="I23" s="204"/>
      <c r="J23" s="225"/>
      <c r="K23" s="204">
        <f t="shared" ref="K23:K27" si="15">IF(NOT(ISERROR(MATCH(J23,_xlfn.ANCHORARRAY(E34),0))),I36&amp;"Por favor no seleccionar los criterios de impacto",J23)</f>
        <v>0</v>
      </c>
      <c r="L23" s="222"/>
      <c r="M23" s="204"/>
      <c r="N23" s="207"/>
      <c r="O23" s="6">
        <v>2</v>
      </c>
      <c r="P23" s="145" t="s">
        <v>310</v>
      </c>
      <c r="Q23" s="51" t="str">
        <f>IF(OR(R23="Preventivo",R23="Detectivo"),"Probabilidad",IF(R23="Correctivo","Impacto",""))</f>
        <v>Probabilidad</v>
      </c>
      <c r="R23" s="52" t="s">
        <v>15</v>
      </c>
      <c r="S23" s="52" t="s">
        <v>9</v>
      </c>
      <c r="T23" s="53" t="str">
        <f t="shared" ref="T23:T27" si="16">IF(AND(R23="Preventivo",S23="Automático"),"50%",IF(AND(R23="Preventivo",S23="Manual"),"40%",IF(AND(R23="Detectivo",S23="Automático"),"40%",IF(AND(R23="Detectivo",S23="Manual"),"30%",IF(AND(R23="Correctivo",S23="Automático"),"35%",IF(AND(R23="Correctivo",S23="Manual"),"25%",""))))))</f>
        <v>30%</v>
      </c>
      <c r="U23" s="52" t="s">
        <v>19</v>
      </c>
      <c r="V23" s="52" t="s">
        <v>23</v>
      </c>
      <c r="W23" s="52" t="s">
        <v>119</v>
      </c>
      <c r="X23" s="31">
        <f>IFERROR(IF(AND(Q22="Probabilidad",Q23="Probabilidad"),(Z22-(+Z22*T23)),IF(Q23="Probabilidad",(I22-(+I22*T23)),IF(Q23="Impacto",Z22,""))),"")</f>
        <v>0.16799999999999998</v>
      </c>
      <c r="Y23" s="54" t="str">
        <f t="shared" si="1"/>
        <v>Muy Baja</v>
      </c>
      <c r="Z23" s="55">
        <f t="shared" ref="Z23:Z27" si="17">+X23</f>
        <v>0.16799999999999998</v>
      </c>
      <c r="AA23" s="54" t="str">
        <f t="shared" si="3"/>
        <v>Moderado</v>
      </c>
      <c r="AB23" s="55">
        <f>IFERROR(IF(AND(Q22="Impacto",Q23="Impacto"),(AB16-(+AB16*T23)),IF(Q23="Impacto",($M$22-(+$M$22*T23)),IF(Q23="Probabilidad",AB16,""))),"")</f>
        <v>0.6</v>
      </c>
      <c r="AC23" s="56"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57" t="s">
        <v>136</v>
      </c>
      <c r="AE23" s="139" t="s">
        <v>290</v>
      </c>
      <c r="AF23" s="139" t="s">
        <v>291</v>
      </c>
      <c r="AG23" s="144" t="s">
        <v>232</v>
      </c>
      <c r="AH23" s="59">
        <v>45291</v>
      </c>
      <c r="AI23" s="139" t="s">
        <v>311</v>
      </c>
      <c r="AJ23" s="48" t="s">
        <v>40</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10"/>
      <c r="B24" s="213"/>
      <c r="C24" s="213"/>
      <c r="D24" s="213"/>
      <c r="E24" s="216"/>
      <c r="F24" s="213"/>
      <c r="G24" s="219"/>
      <c r="H24" s="222"/>
      <c r="I24" s="204"/>
      <c r="J24" s="225"/>
      <c r="K24" s="204">
        <f t="shared" si="15"/>
        <v>0</v>
      </c>
      <c r="L24" s="222"/>
      <c r="M24" s="204"/>
      <c r="N24" s="207"/>
      <c r="O24" s="6">
        <v>3</v>
      </c>
      <c r="P24" s="147" t="s">
        <v>252</v>
      </c>
      <c r="Q24" s="51" t="str">
        <f>IF(OR(R24="Preventivo",R24="Detectivo"),"Probabilidad",IF(R24="Correctivo","Impacto",""))</f>
        <v>Probabilidad</v>
      </c>
      <c r="R24" s="52" t="s">
        <v>14</v>
      </c>
      <c r="S24" s="52" t="s">
        <v>9</v>
      </c>
      <c r="T24" s="53" t="str">
        <f t="shared" si="16"/>
        <v>40%</v>
      </c>
      <c r="U24" s="52" t="s">
        <v>19</v>
      </c>
      <c r="V24" s="52" t="s">
        <v>22</v>
      </c>
      <c r="W24" s="52" t="s">
        <v>119</v>
      </c>
      <c r="X24" s="24">
        <f>IFERROR(IF(AND(Q23="Probabilidad",Q24="Probabilidad"),(Z23-(+Z23*T24)),IF(AND(Q23="Impacto",Q24="Probabilidad"),(Z22-(+Z22*T24)),IF(Q24="Impacto",Z23,""))),"")</f>
        <v>0.10079999999999999</v>
      </c>
      <c r="Y24" s="54" t="str">
        <f t="shared" si="1"/>
        <v>Muy Baja</v>
      </c>
      <c r="Z24" s="55">
        <f t="shared" si="17"/>
        <v>0.10079999999999999</v>
      </c>
      <c r="AA24" s="54" t="str">
        <f t="shared" si="3"/>
        <v>Moderado</v>
      </c>
      <c r="AB24" s="55">
        <f>IFERROR(IF(AND(Q23="Impacto",Q24="Impacto"),(AB23-(+AB23*T24)),IF(AND(Q23="Probabilidad",Q24="Impacto"),(AB22-(+AB22*T24)),IF(Q24="Probabilidad",AB23,""))),"")</f>
        <v>0.6</v>
      </c>
      <c r="AC24" s="56" t="str">
        <f t="shared" si="18"/>
        <v>Moderado</v>
      </c>
      <c r="AD24" s="57" t="s">
        <v>136</v>
      </c>
      <c r="AE24" s="139" t="s">
        <v>257</v>
      </c>
      <c r="AF24" s="139" t="s">
        <v>258</v>
      </c>
      <c r="AG24" s="144" t="s">
        <v>259</v>
      </c>
      <c r="AH24" s="59">
        <v>45291</v>
      </c>
      <c r="AI24" s="139" t="s">
        <v>312</v>
      </c>
      <c r="AJ24" s="48" t="s">
        <v>40</v>
      </c>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10"/>
      <c r="B25" s="213"/>
      <c r="C25" s="213"/>
      <c r="D25" s="213"/>
      <c r="E25" s="216"/>
      <c r="F25" s="213"/>
      <c r="G25" s="219"/>
      <c r="H25" s="222"/>
      <c r="I25" s="204"/>
      <c r="J25" s="225"/>
      <c r="K25" s="204">
        <f t="shared" si="15"/>
        <v>0</v>
      </c>
      <c r="L25" s="222"/>
      <c r="M25" s="204"/>
      <c r="N25" s="207"/>
      <c r="O25" s="6">
        <v>4</v>
      </c>
      <c r="P25" s="145" t="s">
        <v>253</v>
      </c>
      <c r="Q25" s="51" t="str">
        <f t="shared" ref="Q25:Q27" si="19">IF(OR(R25="Preventivo",R25="Detectivo"),"Probabilidad",IF(R25="Correctivo","Impacto",""))</f>
        <v>Probabilidad</v>
      </c>
      <c r="R25" s="52" t="s">
        <v>14</v>
      </c>
      <c r="S25" s="52" t="s">
        <v>9</v>
      </c>
      <c r="T25" s="53" t="str">
        <f t="shared" si="16"/>
        <v>40%</v>
      </c>
      <c r="U25" s="52" t="s">
        <v>19</v>
      </c>
      <c r="V25" s="52" t="s">
        <v>23</v>
      </c>
      <c r="W25" s="52" t="s">
        <v>119</v>
      </c>
      <c r="X25" s="24">
        <f t="shared" ref="X25:X27" si="20">IFERROR(IF(AND(Q24="Probabilidad",Q25="Probabilidad"),(Z24-(+Z24*T25)),IF(AND(Q24="Impacto",Q25="Probabilidad"),(Z23-(+Z23*T25)),IF(Q25="Impacto",Z24,""))),"")</f>
        <v>6.0479999999999992E-2</v>
      </c>
      <c r="Y25" s="54" t="str">
        <f t="shared" si="1"/>
        <v>Muy Baja</v>
      </c>
      <c r="Z25" s="55">
        <f t="shared" si="17"/>
        <v>6.0479999999999992E-2</v>
      </c>
      <c r="AA25" s="54" t="str">
        <f t="shared" si="3"/>
        <v>Moderado</v>
      </c>
      <c r="AB25" s="55">
        <f t="shared" ref="AB25:AB27" si="21">IFERROR(IF(AND(Q24="Impacto",Q25="Impacto"),(AB24-(+AB24*T25)),IF(AND(Q24="Probabilidad",Q25="Impacto"),(AB23-(+AB23*T25)),IF(Q25="Probabilidad",AB24,""))),"")</f>
        <v>0.6</v>
      </c>
      <c r="AC25" s="56"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57" t="s">
        <v>136</v>
      </c>
      <c r="AE25" s="139" t="s">
        <v>260</v>
      </c>
      <c r="AF25" s="139" t="s">
        <v>261</v>
      </c>
      <c r="AG25" s="144" t="s">
        <v>232</v>
      </c>
      <c r="AH25" s="59">
        <v>45291</v>
      </c>
      <c r="AI25" s="139" t="s">
        <v>313</v>
      </c>
      <c r="AJ25" s="48" t="s">
        <v>41</v>
      </c>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10"/>
      <c r="B26" s="213"/>
      <c r="C26" s="213"/>
      <c r="D26" s="213"/>
      <c r="E26" s="216"/>
      <c r="F26" s="213"/>
      <c r="G26" s="219"/>
      <c r="H26" s="222"/>
      <c r="I26" s="204"/>
      <c r="J26" s="225"/>
      <c r="K26" s="204">
        <f t="shared" si="15"/>
        <v>0</v>
      </c>
      <c r="L26" s="222"/>
      <c r="M26" s="204"/>
      <c r="N26" s="207"/>
      <c r="O26" s="6">
        <v>5</v>
      </c>
      <c r="P26" s="145" t="s">
        <v>254</v>
      </c>
      <c r="Q26" s="51" t="str">
        <f t="shared" si="19"/>
        <v>Probabilidad</v>
      </c>
      <c r="R26" s="52" t="s">
        <v>14</v>
      </c>
      <c r="S26" s="52" t="s">
        <v>9</v>
      </c>
      <c r="T26" s="53" t="str">
        <f t="shared" si="16"/>
        <v>40%</v>
      </c>
      <c r="U26" s="52" t="s">
        <v>19</v>
      </c>
      <c r="V26" s="52" t="s">
        <v>23</v>
      </c>
      <c r="W26" s="52" t="s">
        <v>119</v>
      </c>
      <c r="X26" s="24">
        <f t="shared" si="20"/>
        <v>3.6287999999999994E-2</v>
      </c>
      <c r="Y26" s="54" t="str">
        <f t="shared" si="1"/>
        <v>Muy Baja</v>
      </c>
      <c r="Z26" s="55">
        <f t="shared" si="17"/>
        <v>3.6287999999999994E-2</v>
      </c>
      <c r="AA26" s="54" t="str">
        <f t="shared" si="3"/>
        <v>Moderado</v>
      </c>
      <c r="AB26" s="55">
        <f t="shared" si="21"/>
        <v>0.6</v>
      </c>
      <c r="AC26" s="56"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Moderado</v>
      </c>
      <c r="AD26" s="57" t="s">
        <v>136</v>
      </c>
      <c r="AE26" s="140" t="s">
        <v>260</v>
      </c>
      <c r="AF26" s="140" t="s">
        <v>262</v>
      </c>
      <c r="AG26" s="143" t="s">
        <v>263</v>
      </c>
      <c r="AH26" s="59">
        <v>45291</v>
      </c>
      <c r="AI26" s="140" t="s">
        <v>314</v>
      </c>
      <c r="AJ26" s="48" t="s">
        <v>41</v>
      </c>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11"/>
      <c r="B27" s="214"/>
      <c r="C27" s="214"/>
      <c r="D27" s="214"/>
      <c r="E27" s="217"/>
      <c r="F27" s="214"/>
      <c r="G27" s="220"/>
      <c r="H27" s="223"/>
      <c r="I27" s="205"/>
      <c r="J27" s="226"/>
      <c r="K27" s="205">
        <f t="shared" si="15"/>
        <v>0</v>
      </c>
      <c r="L27" s="223"/>
      <c r="M27" s="205"/>
      <c r="N27" s="208"/>
      <c r="O27" s="6">
        <v>6</v>
      </c>
      <c r="P27" s="49"/>
      <c r="Q27" s="51" t="str">
        <f t="shared" si="19"/>
        <v/>
      </c>
      <c r="R27" s="52"/>
      <c r="S27" s="52"/>
      <c r="T27" s="53" t="str">
        <f t="shared" si="16"/>
        <v/>
      </c>
      <c r="U27" s="52"/>
      <c r="V27" s="52"/>
      <c r="W27" s="52"/>
      <c r="X27" s="24" t="str">
        <f t="shared" si="20"/>
        <v/>
      </c>
      <c r="Y27" s="54" t="str">
        <f t="shared" si="1"/>
        <v/>
      </c>
      <c r="Z27" s="55" t="str">
        <f t="shared" si="17"/>
        <v/>
      </c>
      <c r="AA27" s="54" t="str">
        <f t="shared" si="3"/>
        <v/>
      </c>
      <c r="AB27" s="55" t="str">
        <f t="shared" si="21"/>
        <v/>
      </c>
      <c r="AC27" s="56" t="str">
        <f t="shared" si="22"/>
        <v/>
      </c>
      <c r="AD27" s="57"/>
      <c r="AE27" s="58"/>
      <c r="AF27" s="48"/>
      <c r="AG27" s="59"/>
      <c r="AH27" s="59"/>
      <c r="AI27" s="58"/>
      <c r="AJ27" s="4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09">
        <v>4</v>
      </c>
      <c r="B28" s="212" t="s">
        <v>134</v>
      </c>
      <c r="C28" s="212" t="s">
        <v>264</v>
      </c>
      <c r="D28" s="212" t="s">
        <v>265</v>
      </c>
      <c r="E28" s="215" t="s">
        <v>266</v>
      </c>
      <c r="F28" s="212" t="s">
        <v>125</v>
      </c>
      <c r="G28" s="218">
        <v>20</v>
      </c>
      <c r="H28" s="221" t="str">
        <f>IF(G28&lt;=0,"",IF(G28&lt;=2,"Muy Baja",IF(G28&lt;=24,"Baja",IF(G28&lt;=500,"Media",IF(G28&lt;=5000,"Alta","Muy Alta")))))</f>
        <v>Baja</v>
      </c>
      <c r="I28" s="203">
        <f>IF(H28="","",IF(H28="Muy Baja",0.2,IF(H28="Baja",0.4,IF(H28="Media",0.6,IF(H28="Alta",0.8,IF(H28="Muy Alta",1,))))))</f>
        <v>0.4</v>
      </c>
      <c r="J28" s="224" t="s">
        <v>154</v>
      </c>
      <c r="K28" s="203" t="str">
        <f>IF(NOT(ISERROR(MATCH(J28,'Tabla Impacto'!$B$221:$B$223,0))),'Tabla Impacto'!$F$223&amp;"Por favor no seleccionar los criterios de impacto(Afectación Económica o presupuestal y Pérdida Reputacional)",J28)</f>
        <v xml:space="preserve">     El riesgo afecta la imagen de la entidad internamente, de conocimiento general, nivel interno, de junta dircetiva y accionistas y/o de provedores</v>
      </c>
      <c r="L28" s="221" t="str">
        <f>IF(OR(K28='Tabla Impacto'!$C$11,K28='Tabla Impacto'!$D$11),"Leve",IF(OR(K28='Tabla Impacto'!$C$12,K28='Tabla Impacto'!$D$12),"Menor",IF(OR(K28='Tabla Impacto'!$C$13,K28='Tabla Impacto'!$D$13),"Moderado",IF(OR(K28='Tabla Impacto'!$C$14,K28='Tabla Impacto'!$D$14),"Mayor",IF(OR(K28='Tabla Impacto'!$C$15,K28='Tabla Impacto'!$D$15),"Catastrófico","")))))</f>
        <v>Menor</v>
      </c>
      <c r="M28" s="203">
        <f>IF(L28="","",IF(L28="Leve",0.2,IF(L28="Menor",0.4,IF(L28="Moderado",0.6,IF(L28="Mayor",0.8,IF(L28="Catastrófico",1,))))))</f>
        <v>0.4</v>
      </c>
      <c r="N28" s="20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6">
        <v>1</v>
      </c>
      <c r="P28" s="145" t="s">
        <v>315</v>
      </c>
      <c r="Q28" s="51" t="str">
        <f>IF(OR(R28="Preventivo",R28="Detectivo"),"Probabilidad",IF(R28="Correctivo","Impacto",""))</f>
        <v>Probabilidad</v>
      </c>
      <c r="R28" s="52" t="s">
        <v>14</v>
      </c>
      <c r="S28" s="52" t="s">
        <v>9</v>
      </c>
      <c r="T28" s="53" t="str">
        <f>IF(AND(R28="Preventivo",S28="Automático"),"50%",IF(AND(R28="Preventivo",S28="Manual"),"40%",IF(AND(R28="Detectivo",S28="Automático"),"40%",IF(AND(R28="Detectivo",S28="Manual"),"30%",IF(AND(R28="Correctivo",S28="Automático"),"35%",IF(AND(R28="Correctivo",S28="Manual"),"25%",""))))))</f>
        <v>40%</v>
      </c>
      <c r="U28" s="52" t="s">
        <v>19</v>
      </c>
      <c r="V28" s="52" t="s">
        <v>22</v>
      </c>
      <c r="W28" s="52" t="s">
        <v>119</v>
      </c>
      <c r="X28" s="24">
        <f>IFERROR(IF(Q28="Probabilidad",(I28-(+I28*T28)),IF(Q28="Impacto",I28,"")),"")</f>
        <v>0.24</v>
      </c>
      <c r="Y28" s="54" t="str">
        <f>IFERROR(IF(X28="","",IF(X28&lt;=0.2,"Muy Baja",IF(X28&lt;=0.4,"Baja",IF(X28&lt;=0.6,"Media",IF(X28&lt;=0.8,"Alta","Muy Alta"))))),"")</f>
        <v>Baja</v>
      </c>
      <c r="Z28" s="55">
        <f>+X28</f>
        <v>0.24</v>
      </c>
      <c r="AA28" s="54" t="str">
        <f>IFERROR(IF(AB28="","",IF(AB28&lt;=0.2,"Leve",IF(AB28&lt;=0.4,"Menor",IF(AB28&lt;=0.6,"Moderado",IF(AB28&lt;=0.8,"Mayor","Catastrófico"))))),"")</f>
        <v>Menor</v>
      </c>
      <c r="AB28" s="55">
        <f>IFERROR(IF(Q28="Impacto",(M28-(+M28*T28)),IF(Q28="Probabilidad",M28,"")),"")</f>
        <v>0.4</v>
      </c>
      <c r="AC28" s="56"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57" t="s">
        <v>136</v>
      </c>
      <c r="AE28" s="140" t="s">
        <v>270</v>
      </c>
      <c r="AF28" s="140" t="s">
        <v>227</v>
      </c>
      <c r="AG28" s="143" t="s">
        <v>271</v>
      </c>
      <c r="AH28" s="59">
        <v>45291</v>
      </c>
      <c r="AI28" s="140" t="s">
        <v>316</v>
      </c>
      <c r="AJ28" s="48"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10"/>
      <c r="B29" s="213"/>
      <c r="C29" s="213"/>
      <c r="D29" s="213"/>
      <c r="E29" s="216"/>
      <c r="F29" s="213"/>
      <c r="G29" s="219"/>
      <c r="H29" s="222"/>
      <c r="I29" s="204"/>
      <c r="J29" s="225"/>
      <c r="K29" s="204">
        <f t="shared" ref="K29:K33" si="23">IF(NOT(ISERROR(MATCH(J29,_xlfn.ANCHORARRAY(E40),0))),I42&amp;"Por favor no seleccionar los criterios de impacto",J29)</f>
        <v>0</v>
      </c>
      <c r="L29" s="222"/>
      <c r="M29" s="204"/>
      <c r="N29" s="207"/>
      <c r="O29" s="6">
        <v>2</v>
      </c>
      <c r="P29" s="145" t="s">
        <v>317</v>
      </c>
      <c r="Q29" s="51" t="str">
        <f>IF(OR(R29="Preventivo",R29="Detectivo"),"Probabilidad",IF(R29="Correctivo","Impacto",""))</f>
        <v>Probabilidad</v>
      </c>
      <c r="R29" s="52" t="s">
        <v>14</v>
      </c>
      <c r="S29" s="52" t="s">
        <v>9</v>
      </c>
      <c r="T29" s="53" t="str">
        <f t="shared" ref="T29:T33" si="24">IF(AND(R29="Preventivo",S29="Automático"),"50%",IF(AND(R29="Preventivo",S29="Manual"),"40%",IF(AND(R29="Detectivo",S29="Automático"),"40%",IF(AND(R29="Detectivo",S29="Manual"),"30%",IF(AND(R29="Correctivo",S29="Automático"),"35%",IF(AND(R29="Correctivo",S29="Manual"),"25%",""))))))</f>
        <v>40%</v>
      </c>
      <c r="U29" s="52" t="s">
        <v>19</v>
      </c>
      <c r="V29" s="52" t="s">
        <v>22</v>
      </c>
      <c r="W29" s="52" t="s">
        <v>119</v>
      </c>
      <c r="X29" s="24">
        <f>IFERROR(IF(AND(Q28="Probabilidad",Q29="Probabilidad"),(Z28-(+Z28*T29)),IF(Q29="Probabilidad",(I28-(+I28*T29)),IF(Q29="Impacto",Z28,""))),"")</f>
        <v>0.14399999999999999</v>
      </c>
      <c r="Y29" s="54" t="str">
        <f t="shared" si="1"/>
        <v>Muy Baja</v>
      </c>
      <c r="Z29" s="55">
        <f t="shared" ref="Z29:Z33" si="25">+X29</f>
        <v>0.14399999999999999</v>
      </c>
      <c r="AA29" s="54" t="str">
        <f t="shared" si="3"/>
        <v>Leve</v>
      </c>
      <c r="AB29" s="55">
        <f>IFERROR(IF(AND(Q28="Impacto",Q29="Impacto"),(AB22-(+AB22*T29)),IF(Q29="Impacto",($M$28-(+$M$28*T29)),IF(Q29="Probabilidad",AB22,""))),"")</f>
        <v>0.2</v>
      </c>
      <c r="AC29" s="56"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Bajo</v>
      </c>
      <c r="AD29" s="57" t="s">
        <v>136</v>
      </c>
      <c r="AE29" s="140" t="s">
        <v>277</v>
      </c>
      <c r="AF29" s="140" t="s">
        <v>227</v>
      </c>
      <c r="AG29" s="143" t="s">
        <v>232</v>
      </c>
      <c r="AH29" s="59">
        <v>45291</v>
      </c>
      <c r="AI29" s="140" t="s">
        <v>318</v>
      </c>
      <c r="AJ29" s="48" t="s">
        <v>40</v>
      </c>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10"/>
      <c r="B30" s="213"/>
      <c r="C30" s="213"/>
      <c r="D30" s="213"/>
      <c r="E30" s="216"/>
      <c r="F30" s="213"/>
      <c r="G30" s="219"/>
      <c r="H30" s="222"/>
      <c r="I30" s="204"/>
      <c r="J30" s="225"/>
      <c r="K30" s="204">
        <f t="shared" si="23"/>
        <v>0</v>
      </c>
      <c r="L30" s="222"/>
      <c r="M30" s="204"/>
      <c r="N30" s="207"/>
      <c r="O30" s="6">
        <v>3</v>
      </c>
      <c r="P30" s="146" t="s">
        <v>267</v>
      </c>
      <c r="Q30" s="51" t="str">
        <f>IF(OR(R30="Preventivo",R30="Detectivo"),"Probabilidad",IF(R30="Correctivo","Impacto",""))</f>
        <v>Probabilidad</v>
      </c>
      <c r="R30" s="52" t="s">
        <v>14</v>
      </c>
      <c r="S30" s="52" t="s">
        <v>9</v>
      </c>
      <c r="T30" s="53" t="str">
        <f t="shared" si="24"/>
        <v>40%</v>
      </c>
      <c r="U30" s="52" t="s">
        <v>19</v>
      </c>
      <c r="V30" s="52" t="s">
        <v>22</v>
      </c>
      <c r="W30" s="52" t="s">
        <v>119</v>
      </c>
      <c r="X30" s="24">
        <f>IFERROR(IF(AND(Q29="Probabilidad",Q30="Probabilidad"),(Z29-(+Z29*T30)),IF(AND(Q29="Impacto",Q30="Probabilidad"),(Z28-(+Z28*T30)),IF(Q30="Impacto",Z29,""))),"")</f>
        <v>8.6399999999999991E-2</v>
      </c>
      <c r="Y30" s="54" t="str">
        <f t="shared" si="1"/>
        <v>Muy Baja</v>
      </c>
      <c r="Z30" s="55">
        <f t="shared" si="25"/>
        <v>8.6399999999999991E-2</v>
      </c>
      <c r="AA30" s="54" t="str">
        <f t="shared" si="3"/>
        <v>Leve</v>
      </c>
      <c r="AB30" s="55">
        <f>IFERROR(IF(AND(Q29="Impacto",Q30="Impacto"),(AB29-(+AB29*T30)),IF(AND(Q29="Probabilidad",Q30="Impacto"),(AB28-(+AB28*T30)),IF(Q30="Probabilidad",AB29,""))),"")</f>
        <v>0.2</v>
      </c>
      <c r="AC30" s="56" t="str">
        <f t="shared" si="26"/>
        <v>Bajo</v>
      </c>
      <c r="AD30" s="57" t="s">
        <v>136</v>
      </c>
      <c r="AE30" s="140" t="s">
        <v>272</v>
      </c>
      <c r="AF30" s="140" t="s">
        <v>227</v>
      </c>
      <c r="AG30" s="143" t="s">
        <v>271</v>
      </c>
      <c r="AH30" s="59">
        <v>45291</v>
      </c>
      <c r="AI30" s="140" t="s">
        <v>319</v>
      </c>
      <c r="AJ30" s="48" t="s">
        <v>41</v>
      </c>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10"/>
      <c r="B31" s="213"/>
      <c r="C31" s="213"/>
      <c r="D31" s="213"/>
      <c r="E31" s="216"/>
      <c r="F31" s="213"/>
      <c r="G31" s="219"/>
      <c r="H31" s="222"/>
      <c r="I31" s="204"/>
      <c r="J31" s="225"/>
      <c r="K31" s="204">
        <f t="shared" si="23"/>
        <v>0</v>
      </c>
      <c r="L31" s="222"/>
      <c r="M31" s="204"/>
      <c r="N31" s="207"/>
      <c r="O31" s="6">
        <v>4</v>
      </c>
      <c r="P31" s="146" t="s">
        <v>268</v>
      </c>
      <c r="Q31" s="51" t="str">
        <f t="shared" ref="Q31:Q33" si="27">IF(OR(R31="Preventivo",R31="Detectivo"),"Probabilidad",IF(R31="Correctivo","Impacto",""))</f>
        <v>Probabilidad</v>
      </c>
      <c r="R31" s="52" t="s">
        <v>14</v>
      </c>
      <c r="S31" s="52" t="s">
        <v>9</v>
      </c>
      <c r="T31" s="53" t="str">
        <f t="shared" si="24"/>
        <v>40%</v>
      </c>
      <c r="U31" s="52" t="s">
        <v>19</v>
      </c>
      <c r="V31" s="52" t="s">
        <v>22</v>
      </c>
      <c r="W31" s="52" t="s">
        <v>119</v>
      </c>
      <c r="X31" s="24">
        <f t="shared" ref="X31:X33" si="28">IFERROR(IF(AND(Q30="Probabilidad",Q31="Probabilidad"),(Z30-(+Z30*T31)),IF(AND(Q30="Impacto",Q31="Probabilidad"),(Z29-(+Z29*T31)),IF(Q31="Impacto",Z30,""))),"")</f>
        <v>5.183999999999999E-2</v>
      </c>
      <c r="Y31" s="54" t="str">
        <f t="shared" si="1"/>
        <v>Muy Baja</v>
      </c>
      <c r="Z31" s="55">
        <f t="shared" si="25"/>
        <v>5.183999999999999E-2</v>
      </c>
      <c r="AA31" s="54" t="str">
        <f t="shared" si="3"/>
        <v>Leve</v>
      </c>
      <c r="AB31" s="55">
        <f t="shared" ref="AB31:AB33" si="29">IFERROR(IF(AND(Q30="Impacto",Q31="Impacto"),(AB30-(+AB30*T31)),IF(AND(Q30="Probabilidad",Q31="Impacto"),(AB29-(+AB29*T31)),IF(Q31="Probabilidad",AB30,""))),"")</f>
        <v>0.2</v>
      </c>
      <c r="AC31" s="56"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Bajo</v>
      </c>
      <c r="AD31" s="57" t="s">
        <v>136</v>
      </c>
      <c r="AE31" s="140" t="s">
        <v>273</v>
      </c>
      <c r="AF31" s="140" t="s">
        <v>274</v>
      </c>
      <c r="AG31" s="143" t="s">
        <v>271</v>
      </c>
      <c r="AH31" s="59">
        <v>45291</v>
      </c>
      <c r="AI31" s="140" t="s">
        <v>320</v>
      </c>
      <c r="AJ31" s="48" t="s">
        <v>41</v>
      </c>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10"/>
      <c r="B32" s="213"/>
      <c r="C32" s="213"/>
      <c r="D32" s="213"/>
      <c r="E32" s="216"/>
      <c r="F32" s="213"/>
      <c r="G32" s="219"/>
      <c r="H32" s="222"/>
      <c r="I32" s="204"/>
      <c r="J32" s="225"/>
      <c r="K32" s="204">
        <f t="shared" si="23"/>
        <v>0</v>
      </c>
      <c r="L32" s="222"/>
      <c r="M32" s="204"/>
      <c r="N32" s="207"/>
      <c r="O32" s="6">
        <v>5</v>
      </c>
      <c r="P32" s="146" t="s">
        <v>269</v>
      </c>
      <c r="Q32" s="51" t="str">
        <f t="shared" si="27"/>
        <v>Probabilidad</v>
      </c>
      <c r="R32" s="52" t="s">
        <v>14</v>
      </c>
      <c r="S32" s="52" t="s">
        <v>9</v>
      </c>
      <c r="T32" s="53" t="str">
        <f t="shared" si="24"/>
        <v>40%</v>
      </c>
      <c r="U32" s="52" t="s">
        <v>19</v>
      </c>
      <c r="V32" s="52" t="s">
        <v>22</v>
      </c>
      <c r="W32" s="52" t="s">
        <v>119</v>
      </c>
      <c r="X32" s="31">
        <f t="shared" si="28"/>
        <v>3.1103999999999993E-2</v>
      </c>
      <c r="Y32" s="54" t="str">
        <f>IFERROR(IF(X32="","",IF(X32&lt;=0.2,"Muy Baja",IF(X32&lt;=0.4,"Baja",IF(X32&lt;=0.6,"Media",IF(X32&lt;=0.8,"Alta","Muy Alta"))))),"")</f>
        <v>Muy Baja</v>
      </c>
      <c r="Z32" s="55">
        <f t="shared" si="25"/>
        <v>3.1103999999999993E-2</v>
      </c>
      <c r="AA32" s="54" t="str">
        <f t="shared" si="3"/>
        <v>Leve</v>
      </c>
      <c r="AB32" s="55">
        <f t="shared" si="29"/>
        <v>0.2</v>
      </c>
      <c r="AC32" s="56"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Bajo</v>
      </c>
      <c r="AD32" s="57" t="s">
        <v>136</v>
      </c>
      <c r="AE32" s="140" t="s">
        <v>275</v>
      </c>
      <c r="AF32" s="141" t="s">
        <v>276</v>
      </c>
      <c r="AG32" s="143" t="s">
        <v>232</v>
      </c>
      <c r="AH32" s="59">
        <v>45291</v>
      </c>
      <c r="AI32" s="140" t="s">
        <v>321</v>
      </c>
      <c r="AJ32" s="48" t="s">
        <v>40</v>
      </c>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11"/>
      <c r="B33" s="214"/>
      <c r="C33" s="214"/>
      <c r="D33" s="214"/>
      <c r="E33" s="217"/>
      <c r="F33" s="214"/>
      <c r="G33" s="220"/>
      <c r="H33" s="223"/>
      <c r="I33" s="205"/>
      <c r="J33" s="226"/>
      <c r="K33" s="205">
        <f t="shared" si="23"/>
        <v>0</v>
      </c>
      <c r="L33" s="223"/>
      <c r="M33" s="205"/>
      <c r="N33" s="208"/>
      <c r="O33" s="6">
        <v>6</v>
      </c>
      <c r="P33" s="49"/>
      <c r="Q33" s="51" t="str">
        <f t="shared" si="27"/>
        <v/>
      </c>
      <c r="R33" s="52"/>
      <c r="S33" s="52"/>
      <c r="T33" s="53" t="str">
        <f t="shared" si="24"/>
        <v/>
      </c>
      <c r="U33" s="52"/>
      <c r="V33" s="52"/>
      <c r="W33" s="52"/>
      <c r="X33" s="24" t="str">
        <f t="shared" si="28"/>
        <v/>
      </c>
      <c r="Y33" s="54" t="str">
        <f t="shared" si="1"/>
        <v/>
      </c>
      <c r="Z33" s="55" t="str">
        <f t="shared" si="25"/>
        <v/>
      </c>
      <c r="AA33" s="54" t="str">
        <f t="shared" si="3"/>
        <v/>
      </c>
      <c r="AB33" s="55" t="str">
        <f t="shared" si="29"/>
        <v/>
      </c>
      <c r="AC33" s="56" t="str">
        <f t="shared" si="30"/>
        <v/>
      </c>
      <c r="AD33" s="57"/>
      <c r="AE33" s="58"/>
      <c r="AF33" s="48"/>
      <c r="AG33" s="59"/>
      <c r="AH33" s="59"/>
      <c r="AI33" s="58"/>
      <c r="AJ33" s="4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09">
        <v>5</v>
      </c>
      <c r="B34" s="212" t="s">
        <v>134</v>
      </c>
      <c r="C34" s="212" t="s">
        <v>278</v>
      </c>
      <c r="D34" s="212" t="s">
        <v>279</v>
      </c>
      <c r="E34" s="215" t="s">
        <v>280</v>
      </c>
      <c r="F34" s="212" t="s">
        <v>125</v>
      </c>
      <c r="G34" s="218">
        <v>20</v>
      </c>
      <c r="H34" s="221" t="str">
        <f>IF(G34&lt;=0,"",IF(G34&lt;=2,"Muy Baja",IF(G34&lt;=24,"Baja",IF(G34&lt;=500,"Media",IF(G34&lt;=5000,"Alta","Muy Alta")))))</f>
        <v>Baja</v>
      </c>
      <c r="I34" s="203">
        <f>IF(H34="","",IF(H34="Muy Baja",0.2,IF(H34="Baja",0.4,IF(H34="Media",0.6,IF(H34="Alta",0.8,IF(H34="Muy Alta",1,))))))</f>
        <v>0.4</v>
      </c>
      <c r="J34" s="224" t="s">
        <v>154</v>
      </c>
      <c r="K34" s="203" t="str">
        <f>IF(NOT(ISERROR(MATCH(J34,'Tabla Impacto'!$B$221:$B$223,0))),'Tabla Impacto'!$F$223&amp;"Por favor no seleccionar los criterios de impacto(Afectación Económica o presupuestal y Pérdida Reputacional)",J34)</f>
        <v xml:space="preserve">     El riesgo afecta la imagen de la entidad internamente, de conocimiento general, nivel interno, de junta dircetiva y accionistas y/o de provedores</v>
      </c>
      <c r="L34" s="221" t="str">
        <f>IF(OR(K34='Tabla Impacto'!$C$11,K34='Tabla Impacto'!$D$11),"Leve",IF(OR(K34='Tabla Impacto'!$C$12,K34='Tabla Impacto'!$D$12),"Menor",IF(OR(K34='Tabla Impacto'!$C$13,K34='Tabla Impacto'!$D$13),"Moderado",IF(OR(K34='Tabla Impacto'!$C$14,K34='Tabla Impacto'!$D$14),"Mayor",IF(OR(K34='Tabla Impacto'!$C$15,K34='Tabla Impacto'!$D$15),"Catastrófico","")))))</f>
        <v>Menor</v>
      </c>
      <c r="M34" s="203">
        <f>IF(L34="","",IF(L34="Leve",0.2,IF(L34="Menor",0.4,IF(L34="Moderado",0.6,IF(L34="Mayor",0.8,IF(L34="Catastrófico",1,))))))</f>
        <v>0.4</v>
      </c>
      <c r="N34" s="20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6">
        <v>1</v>
      </c>
      <c r="P34" s="145" t="s">
        <v>281</v>
      </c>
      <c r="Q34" s="51" t="str">
        <f>IF(OR(R34="Preventivo",R34="Detectivo"),"Probabilidad",IF(R34="Correctivo","Impacto",""))</f>
        <v>Probabilidad</v>
      </c>
      <c r="R34" s="52" t="s">
        <v>14</v>
      </c>
      <c r="S34" s="52" t="s">
        <v>9</v>
      </c>
      <c r="T34" s="53" t="str">
        <f>IF(AND(R34="Preventivo",S34="Automático"),"50%",IF(AND(R34="Preventivo",S34="Manual"),"40%",IF(AND(R34="Detectivo",S34="Automático"),"40%",IF(AND(R34="Detectivo",S34="Manual"),"30%",IF(AND(R34="Correctivo",S34="Automático"),"35%",IF(AND(R34="Correctivo",S34="Manual"),"25%",""))))))</f>
        <v>40%</v>
      </c>
      <c r="U34" s="52" t="s">
        <v>19</v>
      </c>
      <c r="V34" s="52" t="s">
        <v>22</v>
      </c>
      <c r="W34" s="52" t="s">
        <v>119</v>
      </c>
      <c r="X34" s="24">
        <f>IFERROR(IF(Q34="Probabilidad",(I34-(+I34*T34)),IF(Q34="Impacto",I34,"")),"")</f>
        <v>0.24</v>
      </c>
      <c r="Y34" s="54" t="str">
        <f>IFERROR(IF(X34="","",IF(X34&lt;=0.2,"Muy Baja",IF(X34&lt;=0.4,"Baja",IF(X34&lt;=0.6,"Media",IF(X34&lt;=0.8,"Alta","Muy Alta"))))),"")</f>
        <v>Baja</v>
      </c>
      <c r="Z34" s="55">
        <f>+X34</f>
        <v>0.24</v>
      </c>
      <c r="AA34" s="54" t="str">
        <f>IFERROR(IF(AB34="","",IF(AB34&lt;=0.2,"Leve",IF(AB34&lt;=0.4,"Menor",IF(AB34&lt;=0.6,"Moderado",IF(AB34&lt;=0.8,"Mayor","Catastrófico"))))),"")</f>
        <v>Menor</v>
      </c>
      <c r="AB34" s="55">
        <f>IFERROR(IF(Q34="Impacto",(M34-(+M34*T34)),IF(Q34="Probabilidad",M34,"")),"")</f>
        <v>0.4</v>
      </c>
      <c r="AC34" s="56"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57" t="s">
        <v>136</v>
      </c>
      <c r="AE34" s="140" t="s">
        <v>284</v>
      </c>
      <c r="AF34" s="140" t="s">
        <v>285</v>
      </c>
      <c r="AG34" s="143" t="s">
        <v>271</v>
      </c>
      <c r="AH34" s="59">
        <v>45291</v>
      </c>
      <c r="AI34" s="140" t="s">
        <v>322</v>
      </c>
      <c r="AJ34" s="48"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10"/>
      <c r="B35" s="213"/>
      <c r="C35" s="213"/>
      <c r="D35" s="213"/>
      <c r="E35" s="216"/>
      <c r="F35" s="213"/>
      <c r="G35" s="219"/>
      <c r="H35" s="222"/>
      <c r="I35" s="204"/>
      <c r="J35" s="225"/>
      <c r="K35" s="204">
        <f t="shared" ref="K35:K39" si="31">IF(NOT(ISERROR(MATCH(J35,_xlfn.ANCHORARRAY(E46),0))),I48&amp;"Por favor no seleccionar los criterios de impacto",J35)</f>
        <v>0</v>
      </c>
      <c r="L35" s="222"/>
      <c r="M35" s="204"/>
      <c r="N35" s="207"/>
      <c r="O35" s="6">
        <v>2</v>
      </c>
      <c r="P35" s="145" t="s">
        <v>282</v>
      </c>
      <c r="Q35" s="51" t="str">
        <f>IF(OR(R35="Preventivo",R35="Detectivo"),"Probabilidad",IF(R35="Correctivo","Impacto",""))</f>
        <v>Probabilidad</v>
      </c>
      <c r="R35" s="52" t="s">
        <v>15</v>
      </c>
      <c r="S35" s="52" t="s">
        <v>9</v>
      </c>
      <c r="T35" s="53" t="str">
        <f t="shared" ref="T35:T39" si="32">IF(AND(R35="Preventivo",S35="Automático"),"50%",IF(AND(R35="Preventivo",S35="Manual"),"40%",IF(AND(R35="Detectivo",S35="Automático"),"40%",IF(AND(R35="Detectivo",S35="Manual"),"30%",IF(AND(R35="Correctivo",S35="Automático"),"35%",IF(AND(R35="Correctivo",S35="Manual"),"25%",""))))))</f>
        <v>30%</v>
      </c>
      <c r="U35" s="52" t="s">
        <v>19</v>
      </c>
      <c r="V35" s="52" t="s">
        <v>23</v>
      </c>
      <c r="W35" s="52" t="s">
        <v>119</v>
      </c>
      <c r="X35" s="24">
        <f>IFERROR(IF(AND(Q34="Probabilidad",Q35="Probabilidad"),(Z34-(+Z34*T35)),IF(Q35="Probabilidad",(I34-(+I34*T35)),IF(Q35="Impacto",Z34,""))),"")</f>
        <v>0.16799999999999998</v>
      </c>
      <c r="Y35" s="54" t="str">
        <f t="shared" si="1"/>
        <v>Muy Baja</v>
      </c>
      <c r="Z35" s="55">
        <f t="shared" ref="Z35:Z39" si="33">+X35</f>
        <v>0.16799999999999998</v>
      </c>
      <c r="AA35" s="54" t="str">
        <f t="shared" si="3"/>
        <v>Menor</v>
      </c>
      <c r="AB35" s="55">
        <f>IFERROR(IF(AND(Q34="Impacto",Q35="Impacto"),(AB28-(+AB28*T35)),IF(Q35="Impacto",($M$34-(+$M$34*T35)),IF(Q35="Probabilidad",AB28,""))),"")</f>
        <v>0.4</v>
      </c>
      <c r="AC35" s="56"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Bajo</v>
      </c>
      <c r="AD35" s="57" t="s">
        <v>136</v>
      </c>
      <c r="AE35" s="140" t="s">
        <v>286</v>
      </c>
      <c r="AF35" s="140" t="s">
        <v>287</v>
      </c>
      <c r="AG35" s="143" t="s">
        <v>288</v>
      </c>
      <c r="AH35" s="59">
        <v>45291</v>
      </c>
      <c r="AI35" s="140" t="s">
        <v>323</v>
      </c>
      <c r="AJ35" s="48" t="s">
        <v>41</v>
      </c>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10"/>
      <c r="B36" s="213"/>
      <c r="C36" s="213"/>
      <c r="D36" s="213"/>
      <c r="E36" s="216"/>
      <c r="F36" s="213"/>
      <c r="G36" s="219"/>
      <c r="H36" s="222"/>
      <c r="I36" s="204"/>
      <c r="J36" s="225"/>
      <c r="K36" s="204">
        <f t="shared" si="31"/>
        <v>0</v>
      </c>
      <c r="L36" s="222"/>
      <c r="M36" s="204"/>
      <c r="N36" s="207"/>
      <c r="O36" s="6">
        <v>3</v>
      </c>
      <c r="P36" s="146" t="s">
        <v>283</v>
      </c>
      <c r="Q36" s="51" t="str">
        <f>IF(OR(R36="Preventivo",R36="Detectivo"),"Probabilidad",IF(R36="Correctivo","Impacto",""))</f>
        <v>Probabilidad</v>
      </c>
      <c r="R36" s="52" t="s">
        <v>15</v>
      </c>
      <c r="S36" s="52" t="s">
        <v>9</v>
      </c>
      <c r="T36" s="53" t="str">
        <f t="shared" si="32"/>
        <v>30%</v>
      </c>
      <c r="U36" s="52" t="s">
        <v>19</v>
      </c>
      <c r="V36" s="52" t="s">
        <v>22</v>
      </c>
      <c r="W36" s="52" t="s">
        <v>119</v>
      </c>
      <c r="X36" s="24">
        <f>IFERROR(IF(AND(Q35="Probabilidad",Q36="Probabilidad"),(Z35-(+Z35*T36)),IF(AND(Q35="Impacto",Q36="Probabilidad"),(Z34-(+Z34*T36)),IF(Q36="Impacto",Z35,""))),"")</f>
        <v>0.11759999999999998</v>
      </c>
      <c r="Y36" s="54" t="str">
        <f t="shared" si="1"/>
        <v>Muy Baja</v>
      </c>
      <c r="Z36" s="55">
        <f t="shared" si="33"/>
        <v>0.11759999999999998</v>
      </c>
      <c r="AA36" s="54" t="str">
        <f t="shared" si="3"/>
        <v>Menor</v>
      </c>
      <c r="AB36" s="55">
        <f>IFERROR(IF(AND(Q35="Impacto",Q36="Impacto"),(AB35-(+AB35*T36)),IF(AND(Q35="Probabilidad",Q36="Impacto"),(AB34-(+AB34*T36)),IF(Q36="Probabilidad",AB35,""))),"")</f>
        <v>0.4</v>
      </c>
      <c r="AC36" s="56" t="str">
        <f t="shared" si="34"/>
        <v>Bajo</v>
      </c>
      <c r="AD36" s="57" t="s">
        <v>136</v>
      </c>
      <c r="AE36" s="140" t="s">
        <v>289</v>
      </c>
      <c r="AF36" s="140" t="s">
        <v>285</v>
      </c>
      <c r="AG36" s="143" t="s">
        <v>263</v>
      </c>
      <c r="AH36" s="59">
        <v>45291</v>
      </c>
      <c r="AI36" s="140" t="s">
        <v>324</v>
      </c>
      <c r="AJ36" s="48" t="s">
        <v>41</v>
      </c>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10"/>
      <c r="B37" s="213"/>
      <c r="C37" s="213"/>
      <c r="D37" s="213"/>
      <c r="E37" s="216"/>
      <c r="F37" s="213"/>
      <c r="G37" s="219"/>
      <c r="H37" s="222"/>
      <c r="I37" s="204"/>
      <c r="J37" s="225"/>
      <c r="K37" s="204">
        <f t="shared" si="31"/>
        <v>0</v>
      </c>
      <c r="L37" s="222"/>
      <c r="M37" s="204"/>
      <c r="N37" s="207"/>
      <c r="O37" s="6">
        <v>4</v>
      </c>
      <c r="P37" s="49"/>
      <c r="Q37" s="51" t="str">
        <f t="shared" ref="Q37:Q39" si="35">IF(OR(R37="Preventivo",R37="Detectivo"),"Probabilidad",IF(R37="Correctivo","Impacto",""))</f>
        <v/>
      </c>
      <c r="R37" s="52"/>
      <c r="S37" s="52"/>
      <c r="T37" s="53" t="str">
        <f t="shared" si="32"/>
        <v/>
      </c>
      <c r="U37" s="52"/>
      <c r="V37" s="52"/>
      <c r="W37" s="52"/>
      <c r="X37" s="24" t="str">
        <f t="shared" ref="X37:X39" si="36">IFERROR(IF(AND(Q36="Probabilidad",Q37="Probabilidad"),(Z36-(+Z36*T37)),IF(AND(Q36="Impacto",Q37="Probabilidad"),(Z35-(+Z35*T37)),IF(Q37="Impacto",Z36,""))),"")</f>
        <v/>
      </c>
      <c r="Y37" s="54" t="str">
        <f t="shared" si="1"/>
        <v/>
      </c>
      <c r="Z37" s="55" t="str">
        <f t="shared" si="33"/>
        <v/>
      </c>
      <c r="AA37" s="54" t="str">
        <f t="shared" si="3"/>
        <v/>
      </c>
      <c r="AB37" s="55" t="str">
        <f t="shared" ref="AB37:AB39" si="37">IFERROR(IF(AND(Q36="Impacto",Q37="Impacto"),(AB36-(+AB36*T37)),IF(AND(Q36="Probabilidad",Q37="Impacto"),(AB35-(+AB35*T37)),IF(Q37="Probabilidad",AB36,""))),"")</f>
        <v/>
      </c>
      <c r="AC37" s="56"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57"/>
      <c r="AE37" s="58"/>
      <c r="AF37" s="48"/>
      <c r="AG37" s="59"/>
      <c r="AH37" s="59"/>
      <c r="AI37" s="58"/>
      <c r="AJ37" s="4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10"/>
      <c r="B38" s="213"/>
      <c r="C38" s="213"/>
      <c r="D38" s="213"/>
      <c r="E38" s="216"/>
      <c r="F38" s="213"/>
      <c r="G38" s="219"/>
      <c r="H38" s="222"/>
      <c r="I38" s="204"/>
      <c r="J38" s="225"/>
      <c r="K38" s="204">
        <f t="shared" si="31"/>
        <v>0</v>
      </c>
      <c r="L38" s="222"/>
      <c r="M38" s="204"/>
      <c r="N38" s="207"/>
      <c r="O38" s="6">
        <v>5</v>
      </c>
      <c r="P38" s="49"/>
      <c r="Q38" s="51" t="str">
        <f t="shared" si="35"/>
        <v/>
      </c>
      <c r="R38" s="52"/>
      <c r="S38" s="52"/>
      <c r="T38" s="53" t="str">
        <f t="shared" si="32"/>
        <v/>
      </c>
      <c r="U38" s="52"/>
      <c r="V38" s="52"/>
      <c r="W38" s="52"/>
      <c r="X38" s="24" t="str">
        <f t="shared" si="36"/>
        <v/>
      </c>
      <c r="Y38" s="54" t="str">
        <f t="shared" si="1"/>
        <v/>
      </c>
      <c r="Z38" s="55" t="str">
        <f t="shared" si="33"/>
        <v/>
      </c>
      <c r="AA38" s="54" t="str">
        <f t="shared" si="3"/>
        <v/>
      </c>
      <c r="AB38" s="55" t="str">
        <f t="shared" si="37"/>
        <v/>
      </c>
      <c r="AC38" s="56"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57"/>
      <c r="AE38" s="58"/>
      <c r="AF38" s="48"/>
      <c r="AG38" s="59"/>
      <c r="AH38" s="59"/>
      <c r="AI38" s="58"/>
      <c r="AJ38" s="4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11"/>
      <c r="B39" s="214"/>
      <c r="C39" s="214"/>
      <c r="D39" s="214"/>
      <c r="E39" s="217"/>
      <c r="F39" s="214"/>
      <c r="G39" s="220"/>
      <c r="H39" s="223"/>
      <c r="I39" s="205"/>
      <c r="J39" s="226"/>
      <c r="K39" s="205">
        <f t="shared" si="31"/>
        <v>0</v>
      </c>
      <c r="L39" s="223"/>
      <c r="M39" s="205"/>
      <c r="N39" s="208"/>
      <c r="O39" s="6">
        <v>6</v>
      </c>
      <c r="P39" s="49"/>
      <c r="Q39" s="51" t="str">
        <f t="shared" si="35"/>
        <v/>
      </c>
      <c r="R39" s="52"/>
      <c r="S39" s="52"/>
      <c r="T39" s="53" t="str">
        <f t="shared" si="32"/>
        <v/>
      </c>
      <c r="U39" s="52"/>
      <c r="V39" s="52"/>
      <c r="W39" s="52"/>
      <c r="X39" s="24" t="str">
        <f t="shared" si="36"/>
        <v/>
      </c>
      <c r="Y39" s="54" t="str">
        <f t="shared" si="1"/>
        <v/>
      </c>
      <c r="Z39" s="55" t="str">
        <f t="shared" si="33"/>
        <v/>
      </c>
      <c r="AA39" s="54" t="str">
        <f t="shared" si="3"/>
        <v/>
      </c>
      <c r="AB39" s="55" t="str">
        <f t="shared" si="37"/>
        <v/>
      </c>
      <c r="AC39" s="56" t="str">
        <f t="shared" si="38"/>
        <v/>
      </c>
      <c r="AD39" s="57"/>
      <c r="AE39" s="58"/>
      <c r="AF39" s="48"/>
      <c r="AG39" s="59"/>
      <c r="AH39" s="59"/>
      <c r="AI39" s="58"/>
      <c r="AJ39" s="4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09">
        <v>6</v>
      </c>
      <c r="B40" s="212"/>
      <c r="C40" s="212"/>
      <c r="D40" s="212"/>
      <c r="E40" s="215"/>
      <c r="F40" s="212"/>
      <c r="G40" s="218"/>
      <c r="H40" s="221" t="str">
        <f>IF(G40&lt;=0,"",IF(G40&lt;=2,"Muy Baja",IF(G40&lt;=24,"Baja",IF(G40&lt;=500,"Media",IF(G40&lt;=5000,"Alta","Muy Alta")))))</f>
        <v/>
      </c>
      <c r="I40" s="203" t="str">
        <f>IF(H40="","",IF(H40="Muy Baja",0.2,IF(H40="Baja",0.4,IF(H40="Media",0.6,IF(H40="Alta",0.8,IF(H40="Muy Alta",1,))))))</f>
        <v/>
      </c>
      <c r="J40" s="224"/>
      <c r="K40" s="203">
        <f>IF(NOT(ISERROR(MATCH(J40,'Tabla Impacto'!$B$221:$B$223,0))),'Tabla Impacto'!$F$223&amp;"Por favor no seleccionar los criterios de impacto(Afectación Económica o presupuestal y Pérdida Reputacional)",J40)</f>
        <v>0</v>
      </c>
      <c r="L40" s="221" t="str">
        <f>IF(OR(K40='Tabla Impacto'!$C$11,K40='Tabla Impacto'!$D$11),"Leve",IF(OR(K40='Tabla Impacto'!$C$12,K40='Tabla Impacto'!$D$12),"Menor",IF(OR(K40='Tabla Impacto'!$C$13,K40='Tabla Impacto'!$D$13),"Moderado",IF(OR(K40='Tabla Impacto'!$C$14,K40='Tabla Impacto'!$D$14),"Mayor",IF(OR(K40='Tabla Impacto'!$C$15,K40='Tabla Impacto'!$D$15),"Catastrófico","")))))</f>
        <v/>
      </c>
      <c r="M40" s="203" t="str">
        <f>IF(L40="","",IF(L40="Leve",0.2,IF(L40="Menor",0.4,IF(L40="Moderado",0.6,IF(L40="Mayor",0.8,IF(L40="Catastrófico",1,))))))</f>
        <v/>
      </c>
      <c r="N40" s="20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6">
        <v>1</v>
      </c>
      <c r="P40" s="49"/>
      <c r="Q40" s="51" t="str">
        <f>IF(OR(R40="Preventivo",R40="Detectivo"),"Probabilidad",IF(R40="Correctivo","Impacto",""))</f>
        <v/>
      </c>
      <c r="R40" s="52"/>
      <c r="S40" s="52"/>
      <c r="T40" s="53" t="str">
        <f>IF(AND(R40="Preventivo",S40="Automático"),"50%",IF(AND(R40="Preventivo",S40="Manual"),"40%",IF(AND(R40="Detectivo",S40="Automático"),"40%",IF(AND(R40="Detectivo",S40="Manual"),"30%",IF(AND(R40="Correctivo",S40="Automático"),"35%",IF(AND(R40="Correctivo",S40="Manual"),"25%",""))))))</f>
        <v/>
      </c>
      <c r="U40" s="52"/>
      <c r="V40" s="52"/>
      <c r="W40" s="52"/>
      <c r="X40" s="24" t="str">
        <f>IFERROR(IF(Q40="Probabilidad",(I40-(+I40*T40)),IF(Q40="Impacto",I40,"")),"")</f>
        <v/>
      </c>
      <c r="Y40" s="54" t="str">
        <f>IFERROR(IF(X40="","",IF(X40&lt;=0.2,"Muy Baja",IF(X40&lt;=0.4,"Baja",IF(X40&lt;=0.6,"Media",IF(X40&lt;=0.8,"Alta","Muy Alta"))))),"")</f>
        <v/>
      </c>
      <c r="Z40" s="55" t="str">
        <f>+X40</f>
        <v/>
      </c>
      <c r="AA40" s="54" t="str">
        <f>IFERROR(IF(AB40="","",IF(AB40&lt;=0.2,"Leve",IF(AB40&lt;=0.4,"Menor",IF(AB40&lt;=0.6,"Moderado",IF(AB40&lt;=0.8,"Mayor","Catastrófico"))))),"")</f>
        <v/>
      </c>
      <c r="AB40" s="55" t="str">
        <f>IFERROR(IF(Q40="Impacto",(M40-(+M40*T40)),IF(Q40="Probabilidad",M40,"")),"")</f>
        <v/>
      </c>
      <c r="AC40" s="56"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57"/>
      <c r="AE40" s="58"/>
      <c r="AF40" s="48"/>
      <c r="AG40" s="59"/>
      <c r="AH40" s="59"/>
      <c r="AI40" s="58"/>
      <c r="AJ40" s="4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10"/>
      <c r="B41" s="213"/>
      <c r="C41" s="213"/>
      <c r="D41" s="213"/>
      <c r="E41" s="216"/>
      <c r="F41" s="213"/>
      <c r="G41" s="219"/>
      <c r="H41" s="222"/>
      <c r="I41" s="204"/>
      <c r="J41" s="225"/>
      <c r="K41" s="204">
        <f t="shared" ref="K41:K45" si="39">IF(NOT(ISERROR(MATCH(J41,_xlfn.ANCHORARRAY(E52),0))),I54&amp;"Por favor no seleccionar los criterios de impacto",J41)</f>
        <v>0</v>
      </c>
      <c r="L41" s="222"/>
      <c r="M41" s="204"/>
      <c r="N41" s="207"/>
      <c r="O41" s="6">
        <v>2</v>
      </c>
      <c r="P41" s="49"/>
      <c r="Q41" s="51" t="str">
        <f>IF(OR(R41="Preventivo",R41="Detectivo"),"Probabilidad",IF(R41="Correctivo","Impacto",""))</f>
        <v/>
      </c>
      <c r="R41" s="52"/>
      <c r="S41" s="52"/>
      <c r="T41" s="53" t="str">
        <f t="shared" ref="T41:T45" si="40">IF(AND(R41="Preventivo",S41="Automático"),"50%",IF(AND(R41="Preventivo",S41="Manual"),"40%",IF(AND(R41="Detectivo",S41="Automático"),"40%",IF(AND(R41="Detectivo",S41="Manual"),"30%",IF(AND(R41="Correctivo",S41="Automático"),"35%",IF(AND(R41="Correctivo",S41="Manual"),"25%",""))))))</f>
        <v/>
      </c>
      <c r="U41" s="52"/>
      <c r="V41" s="52"/>
      <c r="W41" s="52"/>
      <c r="X41" s="24" t="str">
        <f>IFERROR(IF(AND(Q40="Probabilidad",Q41="Probabilidad"),(Z40-(+Z40*T41)),IF(Q41="Probabilidad",(I40-(+I40*T41)),IF(Q41="Impacto",Z40,""))),"")</f>
        <v/>
      </c>
      <c r="Y41" s="54" t="str">
        <f t="shared" si="1"/>
        <v/>
      </c>
      <c r="Z41" s="55" t="str">
        <f t="shared" ref="Z41:Z45" si="41">+X41</f>
        <v/>
      </c>
      <c r="AA41" s="54" t="str">
        <f t="shared" si="3"/>
        <v/>
      </c>
      <c r="AB41" s="55" t="str">
        <f>IFERROR(IF(AND(Q40="Impacto",Q41="Impacto"),(AB34-(+AB34*T41)),IF(Q41="Impacto",($M$40-(+$M$40*T41)),IF(Q41="Probabilidad",AB34,""))),"")</f>
        <v/>
      </c>
      <c r="AC41" s="56"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57"/>
      <c r="AE41" s="58"/>
      <c r="AF41" s="48"/>
      <c r="AG41" s="59"/>
      <c r="AH41" s="59"/>
      <c r="AI41" s="58"/>
      <c r="AJ41" s="4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10"/>
      <c r="B42" s="213"/>
      <c r="C42" s="213"/>
      <c r="D42" s="213"/>
      <c r="E42" s="216"/>
      <c r="F42" s="213"/>
      <c r="G42" s="219"/>
      <c r="H42" s="222"/>
      <c r="I42" s="204"/>
      <c r="J42" s="225"/>
      <c r="K42" s="204">
        <f t="shared" si="39"/>
        <v>0</v>
      </c>
      <c r="L42" s="222"/>
      <c r="M42" s="204"/>
      <c r="N42" s="207"/>
      <c r="O42" s="6">
        <v>3</v>
      </c>
      <c r="P42" s="50"/>
      <c r="Q42" s="51" t="str">
        <f>IF(OR(R42="Preventivo",R42="Detectivo"),"Probabilidad",IF(R42="Correctivo","Impacto",""))</f>
        <v/>
      </c>
      <c r="R42" s="52"/>
      <c r="S42" s="52"/>
      <c r="T42" s="53" t="str">
        <f t="shared" si="40"/>
        <v/>
      </c>
      <c r="U42" s="52"/>
      <c r="V42" s="52"/>
      <c r="W42" s="52"/>
      <c r="X42" s="24" t="str">
        <f>IFERROR(IF(AND(Q41="Probabilidad",Q42="Probabilidad"),(Z41-(+Z41*T42)),IF(AND(Q41="Impacto",Q42="Probabilidad"),(Z40-(+Z40*T42)),IF(Q42="Impacto",Z41,""))),"")</f>
        <v/>
      </c>
      <c r="Y42" s="54" t="str">
        <f t="shared" si="1"/>
        <v/>
      </c>
      <c r="Z42" s="55" t="str">
        <f t="shared" si="41"/>
        <v/>
      </c>
      <c r="AA42" s="54" t="str">
        <f t="shared" si="3"/>
        <v/>
      </c>
      <c r="AB42" s="55" t="str">
        <f>IFERROR(IF(AND(Q41="Impacto",Q42="Impacto"),(AB41-(+AB41*T42)),IF(AND(Q41="Probabilidad",Q42="Impacto"),(AB40-(+AB40*T42)),IF(Q42="Probabilidad",AB41,""))),"")</f>
        <v/>
      </c>
      <c r="AC42" s="56" t="str">
        <f t="shared" si="42"/>
        <v/>
      </c>
      <c r="AD42" s="57"/>
      <c r="AE42" s="58"/>
      <c r="AF42" s="48"/>
      <c r="AG42" s="59"/>
      <c r="AH42" s="59"/>
      <c r="AI42" s="58"/>
      <c r="AJ42" s="4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10"/>
      <c r="B43" s="213"/>
      <c r="C43" s="213"/>
      <c r="D43" s="213"/>
      <c r="E43" s="216"/>
      <c r="F43" s="213"/>
      <c r="G43" s="219"/>
      <c r="H43" s="222"/>
      <c r="I43" s="204"/>
      <c r="J43" s="225"/>
      <c r="K43" s="204">
        <f t="shared" si="39"/>
        <v>0</v>
      </c>
      <c r="L43" s="222"/>
      <c r="M43" s="204"/>
      <c r="N43" s="207"/>
      <c r="O43" s="6">
        <v>4</v>
      </c>
      <c r="P43" s="49"/>
      <c r="Q43" s="51" t="str">
        <f t="shared" ref="Q43:Q45" si="43">IF(OR(R43="Preventivo",R43="Detectivo"),"Probabilidad",IF(R43="Correctivo","Impacto",""))</f>
        <v/>
      </c>
      <c r="R43" s="52"/>
      <c r="S43" s="52"/>
      <c r="T43" s="53" t="str">
        <f t="shared" si="40"/>
        <v/>
      </c>
      <c r="U43" s="52"/>
      <c r="V43" s="52"/>
      <c r="W43" s="52"/>
      <c r="X43" s="24" t="str">
        <f t="shared" ref="X43:X45" si="44">IFERROR(IF(AND(Q42="Probabilidad",Q43="Probabilidad"),(Z42-(+Z42*T43)),IF(AND(Q42="Impacto",Q43="Probabilidad"),(Z41-(+Z41*T43)),IF(Q43="Impacto",Z42,""))),"")</f>
        <v/>
      </c>
      <c r="Y43" s="54" t="str">
        <f t="shared" si="1"/>
        <v/>
      </c>
      <c r="Z43" s="55" t="str">
        <f t="shared" si="41"/>
        <v/>
      </c>
      <c r="AA43" s="54" t="str">
        <f t="shared" si="3"/>
        <v/>
      </c>
      <c r="AB43" s="55" t="str">
        <f t="shared" ref="AB43:AB45" si="45">IFERROR(IF(AND(Q42="Impacto",Q43="Impacto"),(AB42-(+AB42*T43)),IF(AND(Q42="Probabilidad",Q43="Impacto"),(AB41-(+AB41*T43)),IF(Q43="Probabilidad",AB42,""))),"")</f>
        <v/>
      </c>
      <c r="AC43" s="56"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57"/>
      <c r="AE43" s="58"/>
      <c r="AF43" s="48"/>
      <c r="AG43" s="59"/>
      <c r="AH43" s="59"/>
      <c r="AI43" s="58"/>
      <c r="AJ43" s="4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10"/>
      <c r="B44" s="213"/>
      <c r="C44" s="213"/>
      <c r="D44" s="213"/>
      <c r="E44" s="216"/>
      <c r="F44" s="213"/>
      <c r="G44" s="219"/>
      <c r="H44" s="222"/>
      <c r="I44" s="204"/>
      <c r="J44" s="225"/>
      <c r="K44" s="204">
        <f t="shared" si="39"/>
        <v>0</v>
      </c>
      <c r="L44" s="222"/>
      <c r="M44" s="204"/>
      <c r="N44" s="207"/>
      <c r="O44" s="6">
        <v>5</v>
      </c>
      <c r="P44" s="49"/>
      <c r="Q44" s="51" t="str">
        <f t="shared" si="43"/>
        <v/>
      </c>
      <c r="R44" s="52"/>
      <c r="S44" s="52"/>
      <c r="T44" s="53" t="str">
        <f t="shared" si="40"/>
        <v/>
      </c>
      <c r="U44" s="52"/>
      <c r="V44" s="52"/>
      <c r="W44" s="52"/>
      <c r="X44" s="24" t="str">
        <f t="shared" si="44"/>
        <v/>
      </c>
      <c r="Y44" s="54" t="str">
        <f t="shared" si="1"/>
        <v/>
      </c>
      <c r="Z44" s="55" t="str">
        <f t="shared" si="41"/>
        <v/>
      </c>
      <c r="AA44" s="54" t="str">
        <f t="shared" si="3"/>
        <v/>
      </c>
      <c r="AB44" s="55" t="str">
        <f t="shared" si="45"/>
        <v/>
      </c>
      <c r="AC44" s="56"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57"/>
      <c r="AE44" s="58"/>
      <c r="AF44" s="48"/>
      <c r="AG44" s="59"/>
      <c r="AH44" s="59"/>
      <c r="AI44" s="58"/>
      <c r="AJ44" s="4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11"/>
      <c r="B45" s="214"/>
      <c r="C45" s="214"/>
      <c r="D45" s="214"/>
      <c r="E45" s="217"/>
      <c r="F45" s="214"/>
      <c r="G45" s="220"/>
      <c r="H45" s="223"/>
      <c r="I45" s="205"/>
      <c r="J45" s="226"/>
      <c r="K45" s="205">
        <f t="shared" si="39"/>
        <v>0</v>
      </c>
      <c r="L45" s="223"/>
      <c r="M45" s="205"/>
      <c r="N45" s="208"/>
      <c r="O45" s="6">
        <v>6</v>
      </c>
      <c r="P45" s="49"/>
      <c r="Q45" s="51" t="str">
        <f t="shared" si="43"/>
        <v/>
      </c>
      <c r="R45" s="52"/>
      <c r="S45" s="52"/>
      <c r="T45" s="53" t="str">
        <f t="shared" si="40"/>
        <v/>
      </c>
      <c r="U45" s="52"/>
      <c r="V45" s="52"/>
      <c r="W45" s="52"/>
      <c r="X45" s="24" t="str">
        <f t="shared" si="44"/>
        <v/>
      </c>
      <c r="Y45" s="54" t="str">
        <f t="shared" si="1"/>
        <v/>
      </c>
      <c r="Z45" s="55" t="str">
        <f t="shared" si="41"/>
        <v/>
      </c>
      <c r="AA45" s="54" t="str">
        <f>IFERROR(IF(AB45="","",IF(AB45&lt;=0.2,"Leve",IF(AB45&lt;=0.4,"Menor",IF(AB45&lt;=0.6,"Moderado",IF(AB45&lt;=0.8,"Mayor","Catastrófico"))))),"")</f>
        <v/>
      </c>
      <c r="AB45" s="55" t="str">
        <f t="shared" si="45"/>
        <v/>
      </c>
      <c r="AC45" s="56"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57"/>
      <c r="AE45" s="58"/>
      <c r="AF45" s="48"/>
      <c r="AG45" s="59"/>
      <c r="AH45" s="59"/>
      <c r="AI45" s="58"/>
      <c r="AJ45" s="4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09">
        <v>7</v>
      </c>
      <c r="B46" s="212"/>
      <c r="C46" s="212"/>
      <c r="D46" s="212"/>
      <c r="E46" s="215"/>
      <c r="F46" s="212"/>
      <c r="G46" s="218"/>
      <c r="H46" s="221" t="str">
        <f>IF(G46&lt;=0,"",IF(G46&lt;=2,"Muy Baja",IF(G46&lt;=24,"Baja",IF(G46&lt;=500,"Media",IF(G46&lt;=5000,"Alta","Muy Alta")))))</f>
        <v/>
      </c>
      <c r="I46" s="203" t="str">
        <f>IF(H46="","",IF(H46="Muy Baja",0.2,IF(H46="Baja",0.4,IF(H46="Media",0.6,IF(H46="Alta",0.8,IF(H46="Muy Alta",1,))))))</f>
        <v/>
      </c>
      <c r="J46" s="224"/>
      <c r="K46" s="203">
        <f>IF(NOT(ISERROR(MATCH(J46,'Tabla Impacto'!$B$221:$B$223,0))),'Tabla Impacto'!$F$223&amp;"Por favor no seleccionar los criterios de impacto(Afectación Económica o presupuestal y Pérdida Reputacional)",J46)</f>
        <v>0</v>
      </c>
      <c r="L46" s="221" t="str">
        <f>IF(OR(K46='Tabla Impacto'!$C$11,K46='Tabla Impacto'!$D$11),"Leve",IF(OR(K46='Tabla Impacto'!$C$12,K46='Tabla Impacto'!$D$12),"Menor",IF(OR(K46='Tabla Impacto'!$C$13,K46='Tabla Impacto'!$D$13),"Moderado",IF(OR(K46='Tabla Impacto'!$C$14,K46='Tabla Impacto'!$D$14),"Mayor",IF(OR(K46='Tabla Impacto'!$C$15,K46='Tabla Impacto'!$D$15),"Catastrófico","")))))</f>
        <v/>
      </c>
      <c r="M46" s="203" t="str">
        <f>IF(L46="","",IF(L46="Leve",0.2,IF(L46="Menor",0.4,IF(L46="Moderado",0.6,IF(L46="Mayor",0.8,IF(L46="Catastrófico",1,))))))</f>
        <v/>
      </c>
      <c r="N46" s="20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6">
        <v>1</v>
      </c>
      <c r="P46" s="49"/>
      <c r="Q46" s="51" t="str">
        <f>IF(OR(R46="Preventivo",R46="Detectivo"),"Probabilidad",IF(R46="Correctivo","Impacto",""))</f>
        <v/>
      </c>
      <c r="R46" s="52"/>
      <c r="S46" s="52"/>
      <c r="T46" s="53" t="str">
        <f>IF(AND(R46="Preventivo",S46="Automático"),"50%",IF(AND(R46="Preventivo",S46="Manual"),"40%",IF(AND(R46="Detectivo",S46="Automático"),"40%",IF(AND(R46="Detectivo",S46="Manual"),"30%",IF(AND(R46="Correctivo",S46="Automático"),"35%",IF(AND(R46="Correctivo",S46="Manual"),"25%",""))))))</f>
        <v/>
      </c>
      <c r="U46" s="52"/>
      <c r="V46" s="52"/>
      <c r="W46" s="52"/>
      <c r="X46" s="24" t="str">
        <f>IFERROR(IF(Q46="Probabilidad",(I46-(+I46*T46)),IF(Q46="Impacto",I46,"")),"")</f>
        <v/>
      </c>
      <c r="Y46" s="54" t="str">
        <f>IFERROR(IF(X46="","",IF(X46&lt;=0.2,"Muy Baja",IF(X46&lt;=0.4,"Baja",IF(X46&lt;=0.6,"Media",IF(X46&lt;=0.8,"Alta","Muy Alta"))))),"")</f>
        <v/>
      </c>
      <c r="Z46" s="55" t="str">
        <f>+X46</f>
        <v/>
      </c>
      <c r="AA46" s="54" t="str">
        <f>IFERROR(IF(AB46="","",IF(AB46&lt;=0.2,"Leve",IF(AB46&lt;=0.4,"Menor",IF(AB46&lt;=0.6,"Moderado",IF(AB46&lt;=0.8,"Mayor","Catastrófico"))))),"")</f>
        <v/>
      </c>
      <c r="AB46" s="55" t="str">
        <f>IFERROR(IF(Q46="Impacto",(M46-(+M46*T46)),IF(Q46="Probabilidad",M46,"")),"")</f>
        <v/>
      </c>
      <c r="AC46" s="56"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57"/>
      <c r="AE46" s="58"/>
      <c r="AF46" s="48"/>
      <c r="AG46" s="59"/>
      <c r="AH46" s="59"/>
      <c r="AI46" s="58"/>
      <c r="AJ46" s="4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10"/>
      <c r="B47" s="213"/>
      <c r="C47" s="213"/>
      <c r="D47" s="213"/>
      <c r="E47" s="216"/>
      <c r="F47" s="213"/>
      <c r="G47" s="219"/>
      <c r="H47" s="222"/>
      <c r="I47" s="204"/>
      <c r="J47" s="225"/>
      <c r="K47" s="204">
        <f t="shared" ref="K47:K51" si="47">IF(NOT(ISERROR(MATCH(J47,_xlfn.ANCHORARRAY(E58),0))),I60&amp;"Por favor no seleccionar los criterios de impacto",J47)</f>
        <v>0</v>
      </c>
      <c r="L47" s="222"/>
      <c r="M47" s="204"/>
      <c r="N47" s="207"/>
      <c r="O47" s="6">
        <v>2</v>
      </c>
      <c r="P47" s="49"/>
      <c r="Q47" s="51" t="str">
        <f>IF(OR(R47="Preventivo",R47="Detectivo"),"Probabilidad",IF(R47="Correctivo","Impacto",""))</f>
        <v/>
      </c>
      <c r="R47" s="52"/>
      <c r="S47" s="52"/>
      <c r="T47" s="53" t="str">
        <f t="shared" ref="T47:T51" si="48">IF(AND(R47="Preventivo",S47="Automático"),"50%",IF(AND(R47="Preventivo",S47="Manual"),"40%",IF(AND(R47="Detectivo",S47="Automático"),"40%",IF(AND(R47="Detectivo",S47="Manual"),"30%",IF(AND(R47="Correctivo",S47="Automático"),"35%",IF(AND(R47="Correctivo",S47="Manual"),"25%",""))))))</f>
        <v/>
      </c>
      <c r="U47" s="52"/>
      <c r="V47" s="52"/>
      <c r="W47" s="52"/>
      <c r="X47" s="24" t="str">
        <f>IFERROR(IF(AND(Q46="Probabilidad",Q47="Probabilidad"),(Z46-(+Z46*T47)),IF(Q47="Probabilidad",(I46-(+I46*T47)),IF(Q47="Impacto",Z46,""))),"")</f>
        <v/>
      </c>
      <c r="Y47" s="54" t="str">
        <f t="shared" si="1"/>
        <v/>
      </c>
      <c r="Z47" s="55" t="str">
        <f t="shared" ref="Z47:Z51" si="49">+X47</f>
        <v/>
      </c>
      <c r="AA47" s="54" t="str">
        <f t="shared" si="3"/>
        <v/>
      </c>
      <c r="AB47" s="55" t="str">
        <f>IFERROR(IF(AND(Q46="Impacto",Q47="Impacto"),(AB40-(+AB40*T47)),IF(Q47="Impacto",($M$46-(+$M$46*T47)),IF(Q47="Probabilidad",AB40,""))),"")</f>
        <v/>
      </c>
      <c r="AC47" s="56"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57"/>
      <c r="AE47" s="58"/>
      <c r="AF47" s="48"/>
      <c r="AG47" s="59"/>
      <c r="AH47" s="59"/>
      <c r="AI47" s="58"/>
      <c r="AJ47" s="4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10"/>
      <c r="B48" s="213"/>
      <c r="C48" s="213"/>
      <c r="D48" s="213"/>
      <c r="E48" s="216"/>
      <c r="F48" s="213"/>
      <c r="G48" s="219"/>
      <c r="H48" s="222"/>
      <c r="I48" s="204"/>
      <c r="J48" s="225"/>
      <c r="K48" s="204">
        <f t="shared" si="47"/>
        <v>0</v>
      </c>
      <c r="L48" s="222"/>
      <c r="M48" s="204"/>
      <c r="N48" s="207"/>
      <c r="O48" s="6">
        <v>3</v>
      </c>
      <c r="P48" s="50"/>
      <c r="Q48" s="51" t="str">
        <f>IF(OR(R48="Preventivo",R48="Detectivo"),"Probabilidad",IF(R48="Correctivo","Impacto",""))</f>
        <v/>
      </c>
      <c r="R48" s="52"/>
      <c r="S48" s="52"/>
      <c r="T48" s="53" t="str">
        <f t="shared" si="48"/>
        <v/>
      </c>
      <c r="U48" s="52"/>
      <c r="V48" s="52"/>
      <c r="W48" s="52"/>
      <c r="X48" s="24" t="str">
        <f>IFERROR(IF(AND(Q47="Probabilidad",Q48="Probabilidad"),(Z47-(+Z47*T48)),IF(AND(Q47="Impacto",Q48="Probabilidad"),(Z46-(+Z46*T48)),IF(Q48="Impacto",Z47,""))),"")</f>
        <v/>
      </c>
      <c r="Y48" s="54" t="str">
        <f t="shared" si="1"/>
        <v/>
      </c>
      <c r="Z48" s="55" t="str">
        <f t="shared" si="49"/>
        <v/>
      </c>
      <c r="AA48" s="54" t="str">
        <f t="shared" si="3"/>
        <v/>
      </c>
      <c r="AB48" s="55" t="str">
        <f>IFERROR(IF(AND(Q47="Impacto",Q48="Impacto"),(AB47-(+AB47*T48)),IF(AND(Q47="Probabilidad",Q48="Impacto"),(AB46-(+AB46*T48)),IF(Q48="Probabilidad",AB47,""))),"")</f>
        <v/>
      </c>
      <c r="AC48" s="56" t="str">
        <f t="shared" si="50"/>
        <v/>
      </c>
      <c r="AD48" s="57"/>
      <c r="AE48" s="58"/>
      <c r="AF48" s="48"/>
      <c r="AG48" s="59"/>
      <c r="AH48" s="59"/>
      <c r="AI48" s="58"/>
      <c r="AJ48" s="4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10"/>
      <c r="B49" s="213"/>
      <c r="C49" s="213"/>
      <c r="D49" s="213"/>
      <c r="E49" s="216"/>
      <c r="F49" s="213"/>
      <c r="G49" s="219"/>
      <c r="H49" s="222"/>
      <c r="I49" s="204"/>
      <c r="J49" s="225"/>
      <c r="K49" s="204">
        <f t="shared" si="47"/>
        <v>0</v>
      </c>
      <c r="L49" s="222"/>
      <c r="M49" s="204"/>
      <c r="N49" s="207"/>
      <c r="O49" s="6">
        <v>4</v>
      </c>
      <c r="P49" s="49"/>
      <c r="Q49" s="51" t="str">
        <f t="shared" ref="Q49:Q51" si="51">IF(OR(R49="Preventivo",R49="Detectivo"),"Probabilidad",IF(R49="Correctivo","Impacto",""))</f>
        <v/>
      </c>
      <c r="R49" s="52"/>
      <c r="S49" s="52"/>
      <c r="T49" s="53" t="str">
        <f t="shared" si="48"/>
        <v/>
      </c>
      <c r="U49" s="52"/>
      <c r="V49" s="52"/>
      <c r="W49" s="52"/>
      <c r="X49" s="24" t="str">
        <f t="shared" ref="X49:X51" si="52">IFERROR(IF(AND(Q48="Probabilidad",Q49="Probabilidad"),(Z48-(+Z48*T49)),IF(AND(Q48="Impacto",Q49="Probabilidad"),(Z47-(+Z47*T49)),IF(Q49="Impacto",Z48,""))),"")</f>
        <v/>
      </c>
      <c r="Y49" s="54" t="str">
        <f t="shared" si="1"/>
        <v/>
      </c>
      <c r="Z49" s="55" t="str">
        <f t="shared" si="49"/>
        <v/>
      </c>
      <c r="AA49" s="54" t="str">
        <f t="shared" si="3"/>
        <v/>
      </c>
      <c r="AB49" s="55" t="str">
        <f t="shared" ref="AB49:AB51" si="53">IFERROR(IF(AND(Q48="Impacto",Q49="Impacto"),(AB48-(+AB48*T49)),IF(AND(Q48="Probabilidad",Q49="Impacto"),(AB47-(+AB47*T49)),IF(Q49="Probabilidad",AB48,""))),"")</f>
        <v/>
      </c>
      <c r="AC49" s="56"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57"/>
      <c r="AE49" s="58"/>
      <c r="AF49" s="48"/>
      <c r="AG49" s="59"/>
      <c r="AH49" s="59"/>
      <c r="AI49" s="58"/>
      <c r="AJ49" s="4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10"/>
      <c r="B50" s="213"/>
      <c r="C50" s="213"/>
      <c r="D50" s="213"/>
      <c r="E50" s="216"/>
      <c r="F50" s="213"/>
      <c r="G50" s="219"/>
      <c r="H50" s="222"/>
      <c r="I50" s="204"/>
      <c r="J50" s="225"/>
      <c r="K50" s="204">
        <f t="shared" si="47"/>
        <v>0</v>
      </c>
      <c r="L50" s="222"/>
      <c r="M50" s="204"/>
      <c r="N50" s="207"/>
      <c r="O50" s="6">
        <v>5</v>
      </c>
      <c r="P50" s="49"/>
      <c r="Q50" s="51" t="str">
        <f t="shared" si="51"/>
        <v/>
      </c>
      <c r="R50" s="52"/>
      <c r="S50" s="52"/>
      <c r="T50" s="53" t="str">
        <f t="shared" si="48"/>
        <v/>
      </c>
      <c r="U50" s="52"/>
      <c r="V50" s="52"/>
      <c r="W50" s="52"/>
      <c r="X50" s="24" t="str">
        <f t="shared" si="52"/>
        <v/>
      </c>
      <c r="Y50" s="54" t="str">
        <f t="shared" si="1"/>
        <v/>
      </c>
      <c r="Z50" s="55" t="str">
        <f t="shared" si="49"/>
        <v/>
      </c>
      <c r="AA50" s="54" t="str">
        <f t="shared" si="3"/>
        <v/>
      </c>
      <c r="AB50" s="55" t="str">
        <f t="shared" si="53"/>
        <v/>
      </c>
      <c r="AC50" s="56"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57"/>
      <c r="AE50" s="58"/>
      <c r="AF50" s="48"/>
      <c r="AG50" s="59"/>
      <c r="AH50" s="59"/>
      <c r="AI50" s="58"/>
      <c r="AJ50" s="4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11"/>
      <c r="B51" s="214"/>
      <c r="C51" s="214"/>
      <c r="D51" s="214"/>
      <c r="E51" s="217"/>
      <c r="F51" s="214"/>
      <c r="G51" s="220"/>
      <c r="H51" s="223"/>
      <c r="I51" s="205"/>
      <c r="J51" s="226"/>
      <c r="K51" s="205">
        <f t="shared" si="47"/>
        <v>0</v>
      </c>
      <c r="L51" s="223"/>
      <c r="M51" s="205"/>
      <c r="N51" s="208"/>
      <c r="O51" s="6">
        <v>6</v>
      </c>
      <c r="P51" s="49"/>
      <c r="Q51" s="51" t="str">
        <f t="shared" si="51"/>
        <v/>
      </c>
      <c r="R51" s="52"/>
      <c r="S51" s="52"/>
      <c r="T51" s="53" t="str">
        <f t="shared" si="48"/>
        <v/>
      </c>
      <c r="U51" s="52"/>
      <c r="V51" s="52"/>
      <c r="W51" s="52"/>
      <c r="X51" s="24" t="str">
        <f t="shared" si="52"/>
        <v/>
      </c>
      <c r="Y51" s="54" t="str">
        <f t="shared" si="1"/>
        <v/>
      </c>
      <c r="Z51" s="55" t="str">
        <f t="shared" si="49"/>
        <v/>
      </c>
      <c r="AA51" s="54" t="str">
        <f t="shared" si="3"/>
        <v/>
      </c>
      <c r="AB51" s="55" t="str">
        <f t="shared" si="53"/>
        <v/>
      </c>
      <c r="AC51" s="56" t="str">
        <f t="shared" si="54"/>
        <v/>
      </c>
      <c r="AD51" s="57"/>
      <c r="AE51" s="58"/>
      <c r="AF51" s="48"/>
      <c r="AG51" s="59"/>
      <c r="AH51" s="59"/>
      <c r="AI51" s="58"/>
      <c r="AJ51" s="4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09">
        <v>8</v>
      </c>
      <c r="B52" s="212"/>
      <c r="C52" s="212"/>
      <c r="D52" s="212"/>
      <c r="E52" s="215"/>
      <c r="F52" s="212"/>
      <c r="G52" s="218"/>
      <c r="H52" s="221" t="str">
        <f>IF(G52&lt;=0,"",IF(G52&lt;=2,"Muy Baja",IF(G52&lt;=24,"Baja",IF(G52&lt;=500,"Media",IF(G52&lt;=5000,"Alta","Muy Alta")))))</f>
        <v/>
      </c>
      <c r="I52" s="203" t="str">
        <f>IF(H52="","",IF(H52="Muy Baja",0.2,IF(H52="Baja",0.4,IF(H52="Media",0.6,IF(H52="Alta",0.8,IF(H52="Muy Alta",1,))))))</f>
        <v/>
      </c>
      <c r="J52" s="224"/>
      <c r="K52" s="203">
        <f>IF(NOT(ISERROR(MATCH(J52,'Tabla Impacto'!$B$221:$B$223,0))),'Tabla Impacto'!$F$223&amp;"Por favor no seleccionar los criterios de impacto(Afectación Económica o presupuestal y Pérdida Reputacional)",J52)</f>
        <v>0</v>
      </c>
      <c r="L52" s="221" t="str">
        <f>IF(OR(K52='Tabla Impacto'!$C$11,K52='Tabla Impacto'!$D$11),"Leve",IF(OR(K52='Tabla Impacto'!$C$12,K52='Tabla Impacto'!$D$12),"Menor",IF(OR(K52='Tabla Impacto'!$C$13,K52='Tabla Impacto'!$D$13),"Moderado",IF(OR(K52='Tabla Impacto'!$C$14,K52='Tabla Impacto'!$D$14),"Mayor",IF(OR(K52='Tabla Impacto'!$C$15,K52='Tabla Impacto'!$D$15),"Catastrófico","")))))</f>
        <v/>
      </c>
      <c r="M52" s="203" t="str">
        <f>IF(L52="","",IF(L52="Leve",0.2,IF(L52="Menor",0.4,IF(L52="Moderado",0.6,IF(L52="Mayor",0.8,IF(L52="Catastrófico",1,))))))</f>
        <v/>
      </c>
      <c r="N52" s="20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6">
        <v>1</v>
      </c>
      <c r="P52" s="49"/>
      <c r="Q52" s="51" t="str">
        <f>IF(OR(R52="Preventivo",R52="Detectivo"),"Probabilidad",IF(R52="Correctivo","Impacto",""))</f>
        <v/>
      </c>
      <c r="R52" s="52"/>
      <c r="S52" s="52"/>
      <c r="T52" s="53" t="str">
        <f>IF(AND(R52="Preventivo",S52="Automático"),"50%",IF(AND(R52="Preventivo",S52="Manual"),"40%",IF(AND(R52="Detectivo",S52="Automático"),"40%",IF(AND(R52="Detectivo",S52="Manual"),"30%",IF(AND(R52="Correctivo",S52="Automático"),"35%",IF(AND(R52="Correctivo",S52="Manual"),"25%",""))))))</f>
        <v/>
      </c>
      <c r="U52" s="52"/>
      <c r="V52" s="52"/>
      <c r="W52" s="52"/>
      <c r="X52" s="24" t="str">
        <f>IFERROR(IF(Q52="Probabilidad",(I52-(+I52*T52)),IF(Q52="Impacto",I52,"")),"")</f>
        <v/>
      </c>
      <c r="Y52" s="54" t="str">
        <f>IFERROR(IF(X52="","",IF(X52&lt;=0.2,"Muy Baja",IF(X52&lt;=0.4,"Baja",IF(X52&lt;=0.6,"Media",IF(X52&lt;=0.8,"Alta","Muy Alta"))))),"")</f>
        <v/>
      </c>
      <c r="Z52" s="55" t="str">
        <f>+X52</f>
        <v/>
      </c>
      <c r="AA52" s="54" t="str">
        <f>IFERROR(IF(AB52="","",IF(AB52&lt;=0.2,"Leve",IF(AB52&lt;=0.4,"Menor",IF(AB52&lt;=0.6,"Moderado",IF(AB52&lt;=0.8,"Mayor","Catastrófico"))))),"")</f>
        <v/>
      </c>
      <c r="AB52" s="55" t="str">
        <f>IFERROR(IF(Q52="Impacto",(M52-(+M52*T52)),IF(Q52="Probabilidad",M52,"")),"")</f>
        <v/>
      </c>
      <c r="AC52" s="56"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57"/>
      <c r="AE52" s="58"/>
      <c r="AF52" s="48"/>
      <c r="AG52" s="59"/>
      <c r="AH52" s="59"/>
      <c r="AI52" s="58"/>
      <c r="AJ52" s="4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10"/>
      <c r="B53" s="213"/>
      <c r="C53" s="213"/>
      <c r="D53" s="213"/>
      <c r="E53" s="216"/>
      <c r="F53" s="213"/>
      <c r="G53" s="219"/>
      <c r="H53" s="222"/>
      <c r="I53" s="204"/>
      <c r="J53" s="225"/>
      <c r="K53" s="204">
        <f>IF(NOT(ISERROR(MATCH(J53,_xlfn.ANCHORARRAY(E64),0))),I66&amp;"Por favor no seleccionar los criterios de impacto",J53)</f>
        <v>0</v>
      </c>
      <c r="L53" s="222"/>
      <c r="M53" s="204"/>
      <c r="N53" s="207"/>
      <c r="O53" s="6">
        <v>2</v>
      </c>
      <c r="P53" s="49"/>
      <c r="Q53" s="51" t="str">
        <f>IF(OR(R53="Preventivo",R53="Detectivo"),"Probabilidad",IF(R53="Correctivo","Impacto",""))</f>
        <v/>
      </c>
      <c r="R53" s="52"/>
      <c r="S53" s="52"/>
      <c r="T53" s="53" t="str">
        <f t="shared" ref="T53:T57" si="55">IF(AND(R53="Preventivo",S53="Automático"),"50%",IF(AND(R53="Preventivo",S53="Manual"),"40%",IF(AND(R53="Detectivo",S53="Automático"),"40%",IF(AND(R53="Detectivo",S53="Manual"),"30%",IF(AND(R53="Correctivo",S53="Automático"),"35%",IF(AND(R53="Correctivo",S53="Manual"),"25%",""))))))</f>
        <v/>
      </c>
      <c r="U53" s="52"/>
      <c r="V53" s="52"/>
      <c r="W53" s="52"/>
      <c r="X53" s="24" t="str">
        <f>IFERROR(IF(AND(Q52="Probabilidad",Q53="Probabilidad"),(Z52-(+Z52*T53)),IF(Q53="Probabilidad",(I52-(+I52*T53)),IF(Q53="Impacto",Z52,""))),"")</f>
        <v/>
      </c>
      <c r="Y53" s="54" t="str">
        <f t="shared" si="1"/>
        <v/>
      </c>
      <c r="Z53" s="55" t="str">
        <f t="shared" ref="Z53:Z57" si="56">+X53</f>
        <v/>
      </c>
      <c r="AA53" s="54" t="str">
        <f t="shared" si="3"/>
        <v/>
      </c>
      <c r="AB53" s="55" t="str">
        <f>IFERROR(IF(AND(Q52="Impacto",Q53="Impacto"),(AB46-(+AB46*T53)),IF(Q53="Impacto",($M$52-(+$M$52*T53)),IF(Q53="Probabilidad",AB46,""))),"")</f>
        <v/>
      </c>
      <c r="AC53" s="56"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57"/>
      <c r="AE53" s="58"/>
      <c r="AF53" s="48"/>
      <c r="AG53" s="59"/>
      <c r="AH53" s="59"/>
      <c r="AI53" s="58"/>
      <c r="AJ53" s="4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10"/>
      <c r="B54" s="213"/>
      <c r="C54" s="213"/>
      <c r="D54" s="213"/>
      <c r="E54" s="216"/>
      <c r="F54" s="213"/>
      <c r="G54" s="219"/>
      <c r="H54" s="222"/>
      <c r="I54" s="204"/>
      <c r="J54" s="225"/>
      <c r="K54" s="204">
        <f>IF(NOT(ISERROR(MATCH(J54,_xlfn.ANCHORARRAY(E65),0))),I67&amp;"Por favor no seleccionar los criterios de impacto",J54)</f>
        <v>0</v>
      </c>
      <c r="L54" s="222"/>
      <c r="M54" s="204"/>
      <c r="N54" s="207"/>
      <c r="O54" s="6">
        <v>3</v>
      </c>
      <c r="P54" s="50"/>
      <c r="Q54" s="51" t="str">
        <f>IF(OR(R54="Preventivo",R54="Detectivo"),"Probabilidad",IF(R54="Correctivo","Impacto",""))</f>
        <v/>
      </c>
      <c r="R54" s="52"/>
      <c r="S54" s="52"/>
      <c r="T54" s="53" t="str">
        <f t="shared" si="55"/>
        <v/>
      </c>
      <c r="U54" s="52"/>
      <c r="V54" s="52"/>
      <c r="W54" s="52"/>
      <c r="X54" s="24" t="str">
        <f>IFERROR(IF(AND(Q53="Probabilidad",Q54="Probabilidad"),(Z53-(+Z53*T54)),IF(AND(Q53="Impacto",Q54="Probabilidad"),(Z52-(+Z52*T54)),IF(Q54="Impacto",Z53,""))),"")</f>
        <v/>
      </c>
      <c r="Y54" s="54" t="str">
        <f t="shared" si="1"/>
        <v/>
      </c>
      <c r="Z54" s="55" t="str">
        <f t="shared" si="56"/>
        <v/>
      </c>
      <c r="AA54" s="54" t="str">
        <f t="shared" si="3"/>
        <v/>
      </c>
      <c r="AB54" s="55" t="str">
        <f>IFERROR(IF(AND(Q53="Impacto",Q54="Impacto"),(AB53-(+AB53*T54)),IF(AND(Q53="Probabilidad",Q54="Impacto"),(AB52-(+AB52*T54)),IF(Q54="Probabilidad",AB53,""))),"")</f>
        <v/>
      </c>
      <c r="AC54" s="56" t="str">
        <f t="shared" si="57"/>
        <v/>
      </c>
      <c r="AD54" s="57"/>
      <c r="AE54" s="58"/>
      <c r="AF54" s="48"/>
      <c r="AG54" s="59"/>
      <c r="AH54" s="59"/>
      <c r="AI54" s="58"/>
      <c r="AJ54" s="4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10"/>
      <c r="B55" s="213"/>
      <c r="C55" s="213"/>
      <c r="D55" s="213"/>
      <c r="E55" s="216"/>
      <c r="F55" s="213"/>
      <c r="G55" s="219"/>
      <c r="H55" s="222"/>
      <c r="I55" s="204"/>
      <c r="J55" s="225"/>
      <c r="K55" s="204">
        <f>IF(NOT(ISERROR(MATCH(J55,_xlfn.ANCHORARRAY(E66),0))),I68&amp;"Por favor no seleccionar los criterios de impacto",J55)</f>
        <v>0</v>
      </c>
      <c r="L55" s="222"/>
      <c r="M55" s="204"/>
      <c r="N55" s="207"/>
      <c r="O55" s="6">
        <v>4</v>
      </c>
      <c r="P55" s="49"/>
      <c r="Q55" s="51" t="str">
        <f t="shared" ref="Q55:Q57" si="58">IF(OR(R55="Preventivo",R55="Detectivo"),"Probabilidad",IF(R55="Correctivo","Impacto",""))</f>
        <v/>
      </c>
      <c r="R55" s="52"/>
      <c r="S55" s="52"/>
      <c r="T55" s="53" t="str">
        <f t="shared" si="55"/>
        <v/>
      </c>
      <c r="U55" s="52"/>
      <c r="V55" s="52"/>
      <c r="W55" s="52"/>
      <c r="X55" s="24" t="str">
        <f t="shared" ref="X55:X57" si="59">IFERROR(IF(AND(Q54="Probabilidad",Q55="Probabilidad"),(Z54-(+Z54*T55)),IF(AND(Q54="Impacto",Q55="Probabilidad"),(Z53-(+Z53*T55)),IF(Q55="Impacto",Z54,""))),"")</f>
        <v/>
      </c>
      <c r="Y55" s="54" t="str">
        <f t="shared" si="1"/>
        <v/>
      </c>
      <c r="Z55" s="55" t="str">
        <f t="shared" si="56"/>
        <v/>
      </c>
      <c r="AA55" s="54" t="str">
        <f t="shared" si="3"/>
        <v/>
      </c>
      <c r="AB55" s="55" t="str">
        <f t="shared" ref="AB55:AB57" si="60">IFERROR(IF(AND(Q54="Impacto",Q55="Impacto"),(AB54-(+AB54*T55)),IF(AND(Q54="Probabilidad",Q55="Impacto"),(AB53-(+AB53*T55)),IF(Q55="Probabilidad",AB54,""))),"")</f>
        <v/>
      </c>
      <c r="AC55" s="56"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57"/>
      <c r="AE55" s="58"/>
      <c r="AF55" s="48"/>
      <c r="AG55" s="59"/>
      <c r="AH55" s="59"/>
      <c r="AI55" s="58"/>
      <c r="AJ55" s="4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10"/>
      <c r="B56" s="213"/>
      <c r="C56" s="213"/>
      <c r="D56" s="213"/>
      <c r="E56" s="216"/>
      <c r="F56" s="213"/>
      <c r="G56" s="219"/>
      <c r="H56" s="222"/>
      <c r="I56" s="204"/>
      <c r="J56" s="225"/>
      <c r="K56" s="204">
        <f>IF(NOT(ISERROR(MATCH(J56,_xlfn.ANCHORARRAY(E67),0))),I69&amp;"Por favor no seleccionar los criterios de impacto",J56)</f>
        <v>0</v>
      </c>
      <c r="L56" s="222"/>
      <c r="M56" s="204"/>
      <c r="N56" s="207"/>
      <c r="O56" s="6">
        <v>5</v>
      </c>
      <c r="P56" s="49"/>
      <c r="Q56" s="51" t="str">
        <f t="shared" si="58"/>
        <v/>
      </c>
      <c r="R56" s="52"/>
      <c r="S56" s="52"/>
      <c r="T56" s="53" t="str">
        <f t="shared" si="55"/>
        <v/>
      </c>
      <c r="U56" s="52"/>
      <c r="V56" s="52"/>
      <c r="W56" s="52"/>
      <c r="X56" s="24" t="str">
        <f t="shared" si="59"/>
        <v/>
      </c>
      <c r="Y56" s="54" t="str">
        <f t="shared" si="1"/>
        <v/>
      </c>
      <c r="Z56" s="55" t="str">
        <f t="shared" si="56"/>
        <v/>
      </c>
      <c r="AA56" s="54" t="str">
        <f t="shared" si="3"/>
        <v/>
      </c>
      <c r="AB56" s="55" t="str">
        <f t="shared" si="60"/>
        <v/>
      </c>
      <c r="AC56" s="56"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57"/>
      <c r="AE56" s="58"/>
      <c r="AF56" s="48"/>
      <c r="AG56" s="59"/>
      <c r="AH56" s="59"/>
      <c r="AI56" s="58"/>
      <c r="AJ56" s="4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11"/>
      <c r="B57" s="214"/>
      <c r="C57" s="214"/>
      <c r="D57" s="214"/>
      <c r="E57" s="217"/>
      <c r="F57" s="214"/>
      <c r="G57" s="220"/>
      <c r="H57" s="223"/>
      <c r="I57" s="205"/>
      <c r="J57" s="226"/>
      <c r="K57" s="205">
        <f>IF(NOT(ISERROR(MATCH(J57,_xlfn.ANCHORARRAY(E68),0))),I70&amp;"Por favor no seleccionar los criterios de impacto",J57)</f>
        <v>0</v>
      </c>
      <c r="L57" s="223"/>
      <c r="M57" s="205"/>
      <c r="N57" s="208"/>
      <c r="O57" s="6">
        <v>6</v>
      </c>
      <c r="P57" s="49"/>
      <c r="Q57" s="51" t="str">
        <f t="shared" si="58"/>
        <v/>
      </c>
      <c r="R57" s="52"/>
      <c r="S57" s="52"/>
      <c r="T57" s="53" t="str">
        <f t="shared" si="55"/>
        <v/>
      </c>
      <c r="U57" s="52"/>
      <c r="V57" s="52"/>
      <c r="W57" s="52"/>
      <c r="X57" s="24" t="str">
        <f t="shared" si="59"/>
        <v/>
      </c>
      <c r="Y57" s="54" t="str">
        <f t="shared" si="1"/>
        <v/>
      </c>
      <c r="Z57" s="55" t="str">
        <f t="shared" si="56"/>
        <v/>
      </c>
      <c r="AA57" s="54" t="str">
        <f t="shared" si="3"/>
        <v/>
      </c>
      <c r="AB57" s="55" t="str">
        <f t="shared" si="60"/>
        <v/>
      </c>
      <c r="AC57" s="56" t="str">
        <f t="shared" si="61"/>
        <v/>
      </c>
      <c r="AD57" s="57"/>
      <c r="AE57" s="58"/>
      <c r="AF57" s="48"/>
      <c r="AG57" s="59"/>
      <c r="AH57" s="59"/>
      <c r="AI57" s="58"/>
      <c r="AJ57" s="4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09">
        <v>9</v>
      </c>
      <c r="B58" s="212"/>
      <c r="C58" s="212"/>
      <c r="D58" s="212"/>
      <c r="E58" s="215"/>
      <c r="F58" s="212"/>
      <c r="G58" s="218"/>
      <c r="H58" s="221" t="str">
        <f>IF(G58&lt;=0,"",IF(G58&lt;=2,"Muy Baja",IF(G58&lt;=24,"Baja",IF(G58&lt;=500,"Media",IF(G58&lt;=5000,"Alta","Muy Alta")))))</f>
        <v/>
      </c>
      <c r="I58" s="203" t="str">
        <f>IF(H58="","",IF(H58="Muy Baja",0.2,IF(H58="Baja",0.4,IF(H58="Media",0.6,IF(H58="Alta",0.8,IF(H58="Muy Alta",1,))))))</f>
        <v/>
      </c>
      <c r="J58" s="224"/>
      <c r="K58" s="203">
        <f>IF(NOT(ISERROR(MATCH(J58,'Tabla Impacto'!$B$221:$B$223,0))),'Tabla Impacto'!$F$223&amp;"Por favor no seleccionar los criterios de impacto(Afectación Económica o presupuestal y Pérdida Reputacional)",J58)</f>
        <v>0</v>
      </c>
      <c r="L58" s="221" t="str">
        <f>IF(OR(K58='Tabla Impacto'!$C$11,K58='Tabla Impacto'!$D$11),"Leve",IF(OR(K58='Tabla Impacto'!$C$12,K58='Tabla Impacto'!$D$12),"Menor",IF(OR(K58='Tabla Impacto'!$C$13,K58='Tabla Impacto'!$D$13),"Moderado",IF(OR(K58='Tabla Impacto'!$C$14,K58='Tabla Impacto'!$D$14),"Mayor",IF(OR(K58='Tabla Impacto'!$C$15,K58='Tabla Impacto'!$D$15),"Catastrófico","")))))</f>
        <v/>
      </c>
      <c r="M58" s="203" t="str">
        <f>IF(L58="","",IF(L58="Leve",0.2,IF(L58="Menor",0.4,IF(L58="Moderado",0.6,IF(L58="Mayor",0.8,IF(L58="Catastrófico",1,))))))</f>
        <v/>
      </c>
      <c r="N58" s="20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6">
        <v>1</v>
      </c>
      <c r="P58" s="49"/>
      <c r="Q58" s="51" t="str">
        <f>IF(OR(R58="Preventivo",R58="Detectivo"),"Probabilidad",IF(R58="Correctivo","Impacto",""))</f>
        <v/>
      </c>
      <c r="R58" s="52"/>
      <c r="S58" s="52"/>
      <c r="T58" s="53" t="str">
        <f>IF(AND(R58="Preventivo",S58="Automático"),"50%",IF(AND(R58="Preventivo",S58="Manual"),"40%",IF(AND(R58="Detectivo",S58="Automático"),"40%",IF(AND(R58="Detectivo",S58="Manual"),"30%",IF(AND(R58="Correctivo",S58="Automático"),"35%",IF(AND(R58="Correctivo",S58="Manual"),"25%",""))))))</f>
        <v/>
      </c>
      <c r="U58" s="52"/>
      <c r="V58" s="52"/>
      <c r="W58" s="52"/>
      <c r="X58" s="24" t="str">
        <f>IFERROR(IF(Q58="Probabilidad",(I58-(+I58*T58)),IF(Q58="Impacto",I58,"")),"")</f>
        <v/>
      </c>
      <c r="Y58" s="54" t="str">
        <f>IFERROR(IF(X58="","",IF(X58&lt;=0.2,"Muy Baja",IF(X58&lt;=0.4,"Baja",IF(X58&lt;=0.6,"Media",IF(X58&lt;=0.8,"Alta","Muy Alta"))))),"")</f>
        <v/>
      </c>
      <c r="Z58" s="55" t="str">
        <f>+X58</f>
        <v/>
      </c>
      <c r="AA58" s="54" t="str">
        <f>IFERROR(IF(AB58="","",IF(AB58&lt;=0.2,"Leve",IF(AB58&lt;=0.4,"Menor",IF(AB58&lt;=0.6,"Moderado",IF(AB58&lt;=0.8,"Mayor","Catastrófico"))))),"")</f>
        <v/>
      </c>
      <c r="AB58" s="55" t="str">
        <f>IFERROR(IF(Q58="Impacto",(M58-(+M58*T58)),IF(Q58="Probabilidad",M58,"")),"")</f>
        <v/>
      </c>
      <c r="AC58" s="56"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57"/>
      <c r="AE58" s="58"/>
      <c r="AF58" s="48"/>
      <c r="AG58" s="59"/>
      <c r="AH58" s="59"/>
      <c r="AI58" s="58"/>
      <c r="AJ58" s="4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10"/>
      <c r="B59" s="213"/>
      <c r="C59" s="213"/>
      <c r="D59" s="213"/>
      <c r="E59" s="216"/>
      <c r="F59" s="213"/>
      <c r="G59" s="219"/>
      <c r="H59" s="222"/>
      <c r="I59" s="204"/>
      <c r="J59" s="225"/>
      <c r="K59" s="204">
        <f>IF(NOT(ISERROR(MATCH(J59,_xlfn.ANCHORARRAY(E70),0))),I72&amp;"Por favor no seleccionar los criterios de impacto",J59)</f>
        <v>0</v>
      </c>
      <c r="L59" s="222"/>
      <c r="M59" s="204"/>
      <c r="N59" s="207"/>
      <c r="O59" s="6">
        <v>2</v>
      </c>
      <c r="P59" s="49"/>
      <c r="Q59" s="51" t="str">
        <f>IF(OR(R59="Preventivo",R59="Detectivo"),"Probabilidad",IF(R59="Correctivo","Impacto",""))</f>
        <v/>
      </c>
      <c r="R59" s="52"/>
      <c r="S59" s="52"/>
      <c r="T59" s="53" t="str">
        <f t="shared" ref="T59:T63" si="62">IF(AND(R59="Preventivo",S59="Automático"),"50%",IF(AND(R59="Preventivo",S59="Manual"),"40%",IF(AND(R59="Detectivo",S59="Automático"),"40%",IF(AND(R59="Detectivo",S59="Manual"),"30%",IF(AND(R59="Correctivo",S59="Automático"),"35%",IF(AND(R59="Correctivo",S59="Manual"),"25%",""))))))</f>
        <v/>
      </c>
      <c r="U59" s="52"/>
      <c r="V59" s="52"/>
      <c r="W59" s="52"/>
      <c r="X59" s="24" t="str">
        <f>IFERROR(IF(AND(Q58="Probabilidad",Q59="Probabilidad"),(Z58-(+Z58*T59)),IF(Q59="Probabilidad",(I58-(+I58*T59)),IF(Q59="Impacto",Z58,""))),"")</f>
        <v/>
      </c>
      <c r="Y59" s="54" t="str">
        <f t="shared" si="1"/>
        <v/>
      </c>
      <c r="Z59" s="55" t="str">
        <f t="shared" ref="Z59:Z63" si="63">+X59</f>
        <v/>
      </c>
      <c r="AA59" s="54" t="str">
        <f t="shared" si="3"/>
        <v/>
      </c>
      <c r="AB59" s="55" t="str">
        <f>IFERROR(IF(AND(Q58="Impacto",Q59="Impacto"),(AB52-(+AB52*T59)),IF(Q59="Impacto",($M$58-(+$M$58*T59)),IF(Q59="Probabilidad",AB52,""))),"")</f>
        <v/>
      </c>
      <c r="AC59" s="56"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57"/>
      <c r="AE59" s="58"/>
      <c r="AF59" s="48"/>
      <c r="AG59" s="59"/>
      <c r="AH59" s="59"/>
      <c r="AI59" s="58"/>
      <c r="AJ59" s="4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10"/>
      <c r="B60" s="213"/>
      <c r="C60" s="213"/>
      <c r="D60" s="213"/>
      <c r="E60" s="216"/>
      <c r="F60" s="213"/>
      <c r="G60" s="219"/>
      <c r="H60" s="222"/>
      <c r="I60" s="204"/>
      <c r="J60" s="225"/>
      <c r="K60" s="204">
        <f>IF(NOT(ISERROR(MATCH(J60,_xlfn.ANCHORARRAY(E71),0))),I73&amp;"Por favor no seleccionar los criterios de impacto",J60)</f>
        <v>0</v>
      </c>
      <c r="L60" s="222"/>
      <c r="M60" s="204"/>
      <c r="N60" s="207"/>
      <c r="O60" s="6">
        <v>3</v>
      </c>
      <c r="P60" s="50"/>
      <c r="Q60" s="51" t="str">
        <f>IF(OR(R60="Preventivo",R60="Detectivo"),"Probabilidad",IF(R60="Correctivo","Impacto",""))</f>
        <v/>
      </c>
      <c r="R60" s="52"/>
      <c r="S60" s="52"/>
      <c r="T60" s="53" t="str">
        <f t="shared" si="62"/>
        <v/>
      </c>
      <c r="U60" s="52"/>
      <c r="V60" s="52"/>
      <c r="W60" s="52"/>
      <c r="X60" s="24" t="str">
        <f>IFERROR(IF(AND(Q59="Probabilidad",Q60="Probabilidad"),(Z59-(+Z59*T60)),IF(AND(Q59="Impacto",Q60="Probabilidad"),(Z58-(+Z58*T60)),IF(Q60="Impacto",Z59,""))),"")</f>
        <v/>
      </c>
      <c r="Y60" s="54" t="str">
        <f t="shared" si="1"/>
        <v/>
      </c>
      <c r="Z60" s="55" t="str">
        <f t="shared" si="63"/>
        <v/>
      </c>
      <c r="AA60" s="54" t="str">
        <f t="shared" si="3"/>
        <v/>
      </c>
      <c r="AB60" s="55" t="str">
        <f>IFERROR(IF(AND(Q59="Impacto",Q60="Impacto"),(AB59-(+AB59*T60)),IF(AND(Q59="Probabilidad",Q60="Impacto"),(AB58-(+AB58*T60)),IF(Q60="Probabilidad",AB59,""))),"")</f>
        <v/>
      </c>
      <c r="AC60" s="56" t="str">
        <f t="shared" si="64"/>
        <v/>
      </c>
      <c r="AD60" s="57"/>
      <c r="AE60" s="58"/>
      <c r="AF60" s="48"/>
      <c r="AG60" s="59"/>
      <c r="AH60" s="59"/>
      <c r="AI60" s="58"/>
      <c r="AJ60" s="4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10"/>
      <c r="B61" s="213"/>
      <c r="C61" s="213"/>
      <c r="D61" s="213"/>
      <c r="E61" s="216"/>
      <c r="F61" s="213"/>
      <c r="G61" s="219"/>
      <c r="H61" s="222"/>
      <c r="I61" s="204"/>
      <c r="J61" s="225"/>
      <c r="K61" s="204">
        <f>IF(NOT(ISERROR(MATCH(J61,_xlfn.ANCHORARRAY(E72),0))),I74&amp;"Por favor no seleccionar los criterios de impacto",J61)</f>
        <v>0</v>
      </c>
      <c r="L61" s="222"/>
      <c r="M61" s="204"/>
      <c r="N61" s="207"/>
      <c r="O61" s="6">
        <v>4</v>
      </c>
      <c r="P61" s="49"/>
      <c r="Q61" s="51" t="str">
        <f t="shared" ref="Q61:Q63" si="65">IF(OR(R61="Preventivo",R61="Detectivo"),"Probabilidad",IF(R61="Correctivo","Impacto",""))</f>
        <v/>
      </c>
      <c r="R61" s="52"/>
      <c r="S61" s="52"/>
      <c r="T61" s="53" t="str">
        <f t="shared" si="62"/>
        <v/>
      </c>
      <c r="U61" s="52"/>
      <c r="V61" s="52"/>
      <c r="W61" s="52"/>
      <c r="X61" s="24" t="str">
        <f t="shared" ref="X61:X63" si="66">IFERROR(IF(AND(Q60="Probabilidad",Q61="Probabilidad"),(Z60-(+Z60*T61)),IF(AND(Q60="Impacto",Q61="Probabilidad"),(Z59-(+Z59*T61)),IF(Q61="Impacto",Z60,""))),"")</f>
        <v/>
      </c>
      <c r="Y61" s="54" t="str">
        <f t="shared" si="1"/>
        <v/>
      </c>
      <c r="Z61" s="55" t="str">
        <f t="shared" si="63"/>
        <v/>
      </c>
      <c r="AA61" s="54" t="str">
        <f t="shared" si="3"/>
        <v/>
      </c>
      <c r="AB61" s="55" t="str">
        <f t="shared" ref="AB61:AB63" si="67">IFERROR(IF(AND(Q60="Impacto",Q61="Impacto"),(AB60-(+AB60*T61)),IF(AND(Q60="Probabilidad",Q61="Impacto"),(AB59-(+AB59*T61)),IF(Q61="Probabilidad",AB60,""))),"")</f>
        <v/>
      </c>
      <c r="AC61" s="56"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57"/>
      <c r="AE61" s="58"/>
      <c r="AF61" s="48"/>
      <c r="AG61" s="59"/>
      <c r="AH61" s="59"/>
      <c r="AI61" s="58"/>
      <c r="AJ61" s="4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10"/>
      <c r="B62" s="213"/>
      <c r="C62" s="213"/>
      <c r="D62" s="213"/>
      <c r="E62" s="216"/>
      <c r="F62" s="213"/>
      <c r="G62" s="219"/>
      <c r="H62" s="222"/>
      <c r="I62" s="204"/>
      <c r="J62" s="225"/>
      <c r="K62" s="204">
        <f>IF(NOT(ISERROR(MATCH(J62,_xlfn.ANCHORARRAY(E73),0))),I75&amp;"Por favor no seleccionar los criterios de impacto",J62)</f>
        <v>0</v>
      </c>
      <c r="L62" s="222"/>
      <c r="M62" s="204"/>
      <c r="N62" s="207"/>
      <c r="O62" s="6">
        <v>5</v>
      </c>
      <c r="P62" s="49"/>
      <c r="Q62" s="51" t="str">
        <f t="shared" si="65"/>
        <v/>
      </c>
      <c r="R62" s="52"/>
      <c r="S62" s="52"/>
      <c r="T62" s="53" t="str">
        <f t="shared" si="62"/>
        <v/>
      </c>
      <c r="U62" s="52"/>
      <c r="V62" s="52"/>
      <c r="W62" s="52"/>
      <c r="X62" s="24" t="str">
        <f t="shared" si="66"/>
        <v/>
      </c>
      <c r="Y62" s="54" t="str">
        <f t="shared" si="1"/>
        <v/>
      </c>
      <c r="Z62" s="55" t="str">
        <f t="shared" si="63"/>
        <v/>
      </c>
      <c r="AA62" s="54" t="str">
        <f t="shared" si="3"/>
        <v/>
      </c>
      <c r="AB62" s="55" t="str">
        <f t="shared" si="67"/>
        <v/>
      </c>
      <c r="AC62" s="56"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57"/>
      <c r="AE62" s="58"/>
      <c r="AF62" s="48"/>
      <c r="AG62" s="59"/>
      <c r="AH62" s="59"/>
      <c r="AI62" s="58"/>
      <c r="AJ62" s="4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11"/>
      <c r="B63" s="214"/>
      <c r="C63" s="214"/>
      <c r="D63" s="214"/>
      <c r="E63" s="217"/>
      <c r="F63" s="214"/>
      <c r="G63" s="220"/>
      <c r="H63" s="223"/>
      <c r="I63" s="205"/>
      <c r="J63" s="226"/>
      <c r="K63" s="205">
        <f>IF(NOT(ISERROR(MATCH(J63,_xlfn.ANCHORARRAY(E74),0))),I76&amp;"Por favor no seleccionar los criterios de impacto",J63)</f>
        <v>0</v>
      </c>
      <c r="L63" s="223"/>
      <c r="M63" s="205"/>
      <c r="N63" s="208"/>
      <c r="O63" s="6">
        <v>6</v>
      </c>
      <c r="P63" s="49"/>
      <c r="Q63" s="51" t="str">
        <f t="shared" si="65"/>
        <v/>
      </c>
      <c r="R63" s="52"/>
      <c r="S63" s="52"/>
      <c r="T63" s="53" t="str">
        <f t="shared" si="62"/>
        <v/>
      </c>
      <c r="U63" s="52"/>
      <c r="V63" s="52"/>
      <c r="W63" s="52"/>
      <c r="X63" s="24" t="str">
        <f t="shared" si="66"/>
        <v/>
      </c>
      <c r="Y63" s="54" t="str">
        <f t="shared" si="1"/>
        <v/>
      </c>
      <c r="Z63" s="55" t="str">
        <f t="shared" si="63"/>
        <v/>
      </c>
      <c r="AA63" s="54" t="str">
        <f t="shared" si="3"/>
        <v/>
      </c>
      <c r="AB63" s="55" t="str">
        <f t="shared" si="67"/>
        <v/>
      </c>
      <c r="AC63" s="56" t="str">
        <f t="shared" si="68"/>
        <v/>
      </c>
      <c r="AD63" s="57"/>
      <c r="AE63" s="58"/>
      <c r="AF63" s="48"/>
      <c r="AG63" s="59"/>
      <c r="AH63" s="59"/>
      <c r="AI63" s="58"/>
      <c r="AJ63" s="4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09">
        <v>10</v>
      </c>
      <c r="B64" s="212"/>
      <c r="C64" s="212"/>
      <c r="D64" s="212"/>
      <c r="E64" s="215"/>
      <c r="F64" s="212"/>
      <c r="G64" s="218"/>
      <c r="H64" s="221" t="str">
        <f>IF(G64&lt;=0,"",IF(G64&lt;=2,"Muy Baja",IF(G64&lt;=24,"Baja",IF(G64&lt;=500,"Media",IF(G64&lt;=5000,"Alta","Muy Alta")))))</f>
        <v/>
      </c>
      <c r="I64" s="203" t="str">
        <f>IF(H64="","",IF(H64="Muy Baja",0.2,IF(H64="Baja",0.4,IF(H64="Media",0.6,IF(H64="Alta",0.8,IF(H64="Muy Alta",1,))))))</f>
        <v/>
      </c>
      <c r="J64" s="224"/>
      <c r="K64" s="203">
        <f>IF(NOT(ISERROR(MATCH(J64,'Tabla Impacto'!$B$221:$B$223,0))),'Tabla Impacto'!$F$223&amp;"Por favor no seleccionar los criterios de impacto(Afectación Económica o presupuestal y Pérdida Reputacional)",J64)</f>
        <v>0</v>
      </c>
      <c r="L64" s="221" t="str">
        <f>IF(OR(K64='Tabla Impacto'!$C$11,K64='Tabla Impacto'!$D$11),"Leve",IF(OR(K64='Tabla Impacto'!$C$12,K64='Tabla Impacto'!$D$12),"Menor",IF(OR(K64='Tabla Impacto'!$C$13,K64='Tabla Impacto'!$D$13),"Moderado",IF(OR(K64='Tabla Impacto'!$C$14,K64='Tabla Impacto'!$D$14),"Mayor",IF(OR(K64='Tabla Impacto'!$C$15,K64='Tabla Impacto'!$D$15),"Catastrófico","")))))</f>
        <v/>
      </c>
      <c r="M64" s="203" t="str">
        <f>IF(L64="","",IF(L64="Leve",0.2,IF(L64="Menor",0.4,IF(L64="Moderado",0.6,IF(L64="Mayor",0.8,IF(L64="Catastrófico",1,))))))</f>
        <v/>
      </c>
      <c r="N64" s="20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6">
        <v>1</v>
      </c>
      <c r="P64" s="49"/>
      <c r="Q64" s="51" t="str">
        <f>IF(OR(R64="Preventivo",R64="Detectivo"),"Probabilidad",IF(R64="Correctivo","Impacto",""))</f>
        <v/>
      </c>
      <c r="R64" s="52"/>
      <c r="S64" s="52"/>
      <c r="T64" s="53" t="str">
        <f>IF(AND(R64="Preventivo",S64="Automático"),"50%",IF(AND(R64="Preventivo",S64="Manual"),"40%",IF(AND(R64="Detectivo",S64="Automático"),"40%",IF(AND(R64="Detectivo",S64="Manual"),"30%",IF(AND(R64="Correctivo",S64="Automático"),"35%",IF(AND(R64="Correctivo",S64="Manual"),"25%",""))))))</f>
        <v/>
      </c>
      <c r="U64" s="52"/>
      <c r="V64" s="52"/>
      <c r="W64" s="52"/>
      <c r="X64" s="24" t="str">
        <f>IFERROR(IF(Q64="Probabilidad",(I64-(+I64*T64)),IF(Q64="Impacto",I64,"")),"")</f>
        <v/>
      </c>
      <c r="Y64" s="54" t="str">
        <f>IFERROR(IF(X64="","",IF(X64&lt;=0.2,"Muy Baja",IF(X64&lt;=0.4,"Baja",IF(X64&lt;=0.6,"Media",IF(X64&lt;=0.8,"Alta","Muy Alta"))))),"")</f>
        <v/>
      </c>
      <c r="Z64" s="55" t="str">
        <f>+X64</f>
        <v/>
      </c>
      <c r="AA64" s="54" t="str">
        <f>IFERROR(IF(AB64="","",IF(AB64&lt;=0.2,"Leve",IF(AB64&lt;=0.4,"Menor",IF(AB64&lt;=0.6,"Moderado",IF(AB64&lt;=0.8,"Mayor","Catastrófico"))))),"")</f>
        <v/>
      </c>
      <c r="AB64" s="55" t="str">
        <f>IFERROR(IF(Q64="Impacto",(M64-(+M64*T64)),IF(Q64="Probabilidad",M64,"")),"")</f>
        <v/>
      </c>
      <c r="AC64" s="56"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57"/>
      <c r="AE64" s="58"/>
      <c r="AF64" s="48"/>
      <c r="AG64" s="59"/>
      <c r="AH64" s="59"/>
      <c r="AI64" s="58"/>
      <c r="AJ64" s="4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10"/>
      <c r="B65" s="213"/>
      <c r="C65" s="213"/>
      <c r="D65" s="213"/>
      <c r="E65" s="216"/>
      <c r="F65" s="213"/>
      <c r="G65" s="219"/>
      <c r="H65" s="222"/>
      <c r="I65" s="204"/>
      <c r="J65" s="225"/>
      <c r="K65" s="204">
        <f>IF(NOT(ISERROR(MATCH(J65,_xlfn.ANCHORARRAY(E76),0))),I78&amp;"Por favor no seleccionar los criterios de impacto",J65)</f>
        <v>0</v>
      </c>
      <c r="L65" s="222"/>
      <c r="M65" s="204"/>
      <c r="N65" s="207"/>
      <c r="O65" s="6">
        <v>2</v>
      </c>
      <c r="P65" s="49"/>
      <c r="Q65" s="51" t="str">
        <f>IF(OR(R65="Preventivo",R65="Detectivo"),"Probabilidad",IF(R65="Correctivo","Impacto",""))</f>
        <v/>
      </c>
      <c r="R65" s="52"/>
      <c r="S65" s="52"/>
      <c r="T65" s="53" t="str">
        <f t="shared" ref="T65:T69" si="69">IF(AND(R65="Preventivo",S65="Automático"),"50%",IF(AND(R65="Preventivo",S65="Manual"),"40%",IF(AND(R65="Detectivo",S65="Automático"),"40%",IF(AND(R65="Detectivo",S65="Manual"),"30%",IF(AND(R65="Correctivo",S65="Automático"),"35%",IF(AND(R65="Correctivo",S65="Manual"),"25%",""))))))</f>
        <v/>
      </c>
      <c r="U65" s="52"/>
      <c r="V65" s="52"/>
      <c r="W65" s="52"/>
      <c r="X65" s="24" t="str">
        <f>IFERROR(IF(AND(Q64="Probabilidad",Q65="Probabilidad"),(Z64-(+Z64*T65)),IF(Q65="Probabilidad",(I64-(+I64*T65)),IF(Q65="Impacto",Z64,""))),"")</f>
        <v/>
      </c>
      <c r="Y65" s="54" t="str">
        <f t="shared" si="1"/>
        <v/>
      </c>
      <c r="Z65" s="55" t="str">
        <f t="shared" ref="Z65:Z69" si="70">+X65</f>
        <v/>
      </c>
      <c r="AA65" s="54" t="str">
        <f t="shared" si="3"/>
        <v/>
      </c>
      <c r="AB65" s="55" t="str">
        <f>IFERROR(IF(AND(Q64="Impacto",Q65="Impacto"),(AB58-(+AB58*T65)),IF(Q65="Impacto",($M$64-(+$M$64*T65)),IF(Q65="Probabilidad",AB58,""))),"")</f>
        <v/>
      </c>
      <c r="AC65" s="56"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57"/>
      <c r="AE65" s="58"/>
      <c r="AF65" s="48"/>
      <c r="AG65" s="59"/>
      <c r="AH65" s="59"/>
      <c r="AI65" s="58"/>
      <c r="AJ65" s="48"/>
    </row>
    <row r="66" spans="1:36" ht="151.5" customHeight="1" x14ac:dyDescent="0.3">
      <c r="A66" s="210"/>
      <c r="B66" s="213"/>
      <c r="C66" s="213"/>
      <c r="D66" s="213"/>
      <c r="E66" s="216"/>
      <c r="F66" s="213"/>
      <c r="G66" s="219"/>
      <c r="H66" s="222"/>
      <c r="I66" s="204"/>
      <c r="J66" s="225"/>
      <c r="K66" s="204">
        <f>IF(NOT(ISERROR(MATCH(J66,_xlfn.ANCHORARRAY(E77),0))),I79&amp;"Por favor no seleccionar los criterios de impacto",J66)</f>
        <v>0</v>
      </c>
      <c r="L66" s="222"/>
      <c r="M66" s="204"/>
      <c r="N66" s="207"/>
      <c r="O66" s="6">
        <v>3</v>
      </c>
      <c r="P66" s="50"/>
      <c r="Q66" s="51" t="str">
        <f>IF(OR(R66="Preventivo",R66="Detectivo"),"Probabilidad",IF(R66="Correctivo","Impacto",""))</f>
        <v/>
      </c>
      <c r="R66" s="52"/>
      <c r="S66" s="52"/>
      <c r="T66" s="53" t="str">
        <f t="shared" si="69"/>
        <v/>
      </c>
      <c r="U66" s="52"/>
      <c r="V66" s="52"/>
      <c r="W66" s="52"/>
      <c r="X66" s="24" t="str">
        <f>IFERROR(IF(AND(Q65="Probabilidad",Q66="Probabilidad"),(Z65-(+Z65*T66)),IF(AND(Q65="Impacto",Q66="Probabilidad"),(Z64-(+Z64*T66)),IF(Q66="Impacto",Z65,""))),"")</f>
        <v/>
      </c>
      <c r="Y66" s="54" t="str">
        <f t="shared" si="1"/>
        <v/>
      </c>
      <c r="Z66" s="55" t="str">
        <f t="shared" si="70"/>
        <v/>
      </c>
      <c r="AA66" s="54" t="str">
        <f t="shared" si="3"/>
        <v/>
      </c>
      <c r="AB66" s="55" t="str">
        <f>IFERROR(IF(AND(Q65="Impacto",Q66="Impacto"),(AB65-(+AB65*T66)),IF(AND(Q65="Probabilidad",Q66="Impacto"),(AB64-(+AB64*T66)),IF(Q66="Probabilidad",AB65,""))),"")</f>
        <v/>
      </c>
      <c r="AC66" s="56" t="str">
        <f t="shared" si="71"/>
        <v/>
      </c>
      <c r="AD66" s="57"/>
      <c r="AE66" s="58"/>
      <c r="AF66" s="48"/>
      <c r="AG66" s="59"/>
      <c r="AH66" s="59"/>
      <c r="AI66" s="58"/>
      <c r="AJ66" s="48"/>
    </row>
    <row r="67" spans="1:36" ht="151.5" customHeight="1" x14ac:dyDescent="0.3">
      <c r="A67" s="210"/>
      <c r="B67" s="213"/>
      <c r="C67" s="213"/>
      <c r="D67" s="213"/>
      <c r="E67" s="216"/>
      <c r="F67" s="213"/>
      <c r="G67" s="219"/>
      <c r="H67" s="222"/>
      <c r="I67" s="204"/>
      <c r="J67" s="225"/>
      <c r="K67" s="204">
        <f>IF(NOT(ISERROR(MATCH(J67,_xlfn.ANCHORARRAY(E78),0))),I80&amp;"Por favor no seleccionar los criterios de impacto",J67)</f>
        <v>0</v>
      </c>
      <c r="L67" s="222"/>
      <c r="M67" s="204"/>
      <c r="N67" s="207"/>
      <c r="O67" s="6">
        <v>4</v>
      </c>
      <c r="P67" s="49"/>
      <c r="Q67" s="51" t="str">
        <f t="shared" ref="Q67:Q69" si="72">IF(OR(R67="Preventivo",R67="Detectivo"),"Probabilidad",IF(R67="Correctivo","Impacto",""))</f>
        <v/>
      </c>
      <c r="R67" s="52"/>
      <c r="S67" s="52"/>
      <c r="T67" s="53" t="str">
        <f t="shared" si="69"/>
        <v/>
      </c>
      <c r="U67" s="52"/>
      <c r="V67" s="52"/>
      <c r="W67" s="52"/>
      <c r="X67" s="24" t="str">
        <f t="shared" ref="X67:X69" si="73">IFERROR(IF(AND(Q66="Probabilidad",Q67="Probabilidad"),(Z66-(+Z66*T67)),IF(AND(Q66="Impacto",Q67="Probabilidad"),(Z65-(+Z65*T67)),IF(Q67="Impacto",Z66,""))),"")</f>
        <v/>
      </c>
      <c r="Y67" s="54" t="str">
        <f t="shared" si="1"/>
        <v/>
      </c>
      <c r="Z67" s="55" t="str">
        <f t="shared" si="70"/>
        <v/>
      </c>
      <c r="AA67" s="54" t="str">
        <f t="shared" si="3"/>
        <v/>
      </c>
      <c r="AB67" s="55" t="str">
        <f t="shared" ref="AB67:AB69" si="74">IFERROR(IF(AND(Q66="Impacto",Q67="Impacto"),(AB66-(+AB66*T67)),IF(AND(Q66="Probabilidad",Q67="Impacto"),(AB65-(+AB65*T67)),IF(Q67="Probabilidad",AB66,""))),"")</f>
        <v/>
      </c>
      <c r="AC67" s="56"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57"/>
      <c r="AE67" s="58"/>
      <c r="AF67" s="48"/>
      <c r="AG67" s="59"/>
      <c r="AH67" s="59"/>
      <c r="AI67" s="58"/>
      <c r="AJ67" s="48"/>
    </row>
    <row r="68" spans="1:36" ht="151.5" customHeight="1" x14ac:dyDescent="0.3">
      <c r="A68" s="210"/>
      <c r="B68" s="213"/>
      <c r="C68" s="213"/>
      <c r="D68" s="213"/>
      <c r="E68" s="216"/>
      <c r="F68" s="213"/>
      <c r="G68" s="219"/>
      <c r="H68" s="222"/>
      <c r="I68" s="204"/>
      <c r="J68" s="225"/>
      <c r="K68" s="204">
        <f>IF(NOT(ISERROR(MATCH(J68,_xlfn.ANCHORARRAY(E79),0))),I81&amp;"Por favor no seleccionar los criterios de impacto",J68)</f>
        <v>0</v>
      </c>
      <c r="L68" s="222"/>
      <c r="M68" s="204"/>
      <c r="N68" s="207"/>
      <c r="O68" s="6">
        <v>5</v>
      </c>
      <c r="P68" s="49"/>
      <c r="Q68" s="51" t="str">
        <f t="shared" si="72"/>
        <v/>
      </c>
      <c r="R68" s="52"/>
      <c r="S68" s="52"/>
      <c r="T68" s="53" t="str">
        <f t="shared" si="69"/>
        <v/>
      </c>
      <c r="U68" s="52"/>
      <c r="V68" s="52"/>
      <c r="W68" s="52"/>
      <c r="X68" s="24" t="str">
        <f t="shared" si="73"/>
        <v/>
      </c>
      <c r="Y68" s="54" t="str">
        <f t="shared" si="1"/>
        <v/>
      </c>
      <c r="Z68" s="55" t="str">
        <f t="shared" si="70"/>
        <v/>
      </c>
      <c r="AA68" s="54" t="str">
        <f t="shared" si="3"/>
        <v/>
      </c>
      <c r="AB68" s="55" t="str">
        <f t="shared" si="74"/>
        <v/>
      </c>
      <c r="AC68" s="56"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57"/>
      <c r="AE68" s="58"/>
      <c r="AF68" s="48"/>
      <c r="AG68" s="59"/>
      <c r="AH68" s="59"/>
      <c r="AI68" s="58"/>
      <c r="AJ68" s="48"/>
    </row>
    <row r="69" spans="1:36" ht="151.5" customHeight="1" x14ac:dyDescent="0.3">
      <c r="A69" s="211"/>
      <c r="B69" s="214"/>
      <c r="C69" s="214"/>
      <c r="D69" s="214"/>
      <c r="E69" s="217"/>
      <c r="F69" s="214"/>
      <c r="G69" s="220"/>
      <c r="H69" s="223"/>
      <c r="I69" s="205"/>
      <c r="J69" s="226"/>
      <c r="K69" s="205">
        <f>IF(NOT(ISERROR(MATCH(J69,_xlfn.ANCHORARRAY(E80),0))),I82&amp;"Por favor no seleccionar los criterios de impacto",J69)</f>
        <v>0</v>
      </c>
      <c r="L69" s="223"/>
      <c r="M69" s="205"/>
      <c r="N69" s="208"/>
      <c r="O69" s="6">
        <v>6</v>
      </c>
      <c r="P69" s="49"/>
      <c r="Q69" s="51" t="str">
        <f t="shared" si="72"/>
        <v/>
      </c>
      <c r="R69" s="52"/>
      <c r="S69" s="52"/>
      <c r="T69" s="53" t="str">
        <f t="shared" si="69"/>
        <v/>
      </c>
      <c r="U69" s="52"/>
      <c r="V69" s="52"/>
      <c r="W69" s="52"/>
      <c r="X69" s="24" t="str">
        <f t="shared" si="73"/>
        <v/>
      </c>
      <c r="Y69" s="54" t="str">
        <f t="shared" si="1"/>
        <v/>
      </c>
      <c r="Z69" s="55" t="str">
        <f t="shared" si="70"/>
        <v/>
      </c>
      <c r="AA69" s="54" t="str">
        <f t="shared" si="3"/>
        <v/>
      </c>
      <c r="AB69" s="55" t="str">
        <f t="shared" si="74"/>
        <v/>
      </c>
      <c r="AC69" s="56" t="str">
        <f t="shared" si="75"/>
        <v/>
      </c>
      <c r="AD69" s="57"/>
      <c r="AE69" s="58"/>
      <c r="AF69" s="48"/>
      <c r="AG69" s="59"/>
      <c r="AH69" s="59"/>
      <c r="AI69" s="58"/>
      <c r="AJ69" s="48"/>
    </row>
    <row r="70" spans="1:36" ht="49.5" customHeight="1" x14ac:dyDescent="0.3">
      <c r="A70" s="6"/>
      <c r="B70" s="200" t="s">
        <v>131</v>
      </c>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2"/>
    </row>
    <row r="72" spans="1:36" x14ac:dyDescent="0.3">
      <c r="A72" s="1"/>
      <c r="B72" s="25" t="s">
        <v>143</v>
      </c>
      <c r="C72" s="1"/>
      <c r="D72" s="1"/>
      <c r="F72" s="1"/>
    </row>
  </sheetData>
  <sheetProtection algorithmName="SHA-512" hashValue="sVoqu7kJshpFydYKkkW8R62PwbHkQ9zgyUzrQTDSexXBIdbfmbh3HSh+Gofw37b3YGg2PRU2wgjt3LhxsWd93g==" saltValue="gArFcdkKpQaxc61f24i61A=="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104" priority="319" operator="equal">
      <formula>"Muy Alta"</formula>
    </cfRule>
    <cfRule type="cellIs" dxfId="103" priority="320" operator="equal">
      <formula>"Alta"</formula>
    </cfRule>
    <cfRule type="cellIs" dxfId="102" priority="321" operator="equal">
      <formula>"Media"</formula>
    </cfRule>
    <cfRule type="cellIs" dxfId="101" priority="322" operator="equal">
      <formula>"Baja"</formula>
    </cfRule>
    <cfRule type="cellIs" dxfId="100" priority="323" operator="equal">
      <formula>"Muy Baja"</formula>
    </cfRule>
  </conditionalFormatting>
  <conditionalFormatting sqref="H22">
    <cfRule type="cellIs" dxfId="99" priority="221" operator="equal">
      <formula>"Muy Alta"</formula>
    </cfRule>
    <cfRule type="cellIs" dxfId="98" priority="222" operator="equal">
      <formula>"Alta"</formula>
    </cfRule>
    <cfRule type="cellIs" dxfId="97" priority="223" operator="equal">
      <formula>"Media"</formula>
    </cfRule>
    <cfRule type="cellIs" dxfId="96" priority="224" operator="equal">
      <formula>"Baja"</formula>
    </cfRule>
    <cfRule type="cellIs" dxfId="95" priority="225" operator="equal">
      <formula>"Muy Baja"</formula>
    </cfRule>
  </conditionalFormatting>
  <conditionalFormatting sqref="H28">
    <cfRule type="cellIs" dxfId="94" priority="193" operator="equal">
      <formula>"Muy Alta"</formula>
    </cfRule>
    <cfRule type="cellIs" dxfId="93" priority="194" operator="equal">
      <formula>"Alta"</formula>
    </cfRule>
    <cfRule type="cellIs" dxfId="92" priority="195" operator="equal">
      <formula>"Media"</formula>
    </cfRule>
    <cfRule type="cellIs" dxfId="91" priority="196" operator="equal">
      <formula>"Baja"</formula>
    </cfRule>
    <cfRule type="cellIs" dxfId="90" priority="197" operator="equal">
      <formula>"Muy Baja"</formula>
    </cfRule>
  </conditionalFormatting>
  <conditionalFormatting sqref="H34">
    <cfRule type="cellIs" dxfId="89" priority="165" operator="equal">
      <formula>"Muy Alta"</formula>
    </cfRule>
    <cfRule type="cellIs" dxfId="88" priority="166" operator="equal">
      <formula>"Alta"</formula>
    </cfRule>
    <cfRule type="cellIs" dxfId="87" priority="167" operator="equal">
      <formula>"Media"</formula>
    </cfRule>
    <cfRule type="cellIs" dxfId="86" priority="168" operator="equal">
      <formula>"Baja"</formula>
    </cfRule>
    <cfRule type="cellIs" dxfId="85" priority="169" operator="equal">
      <formula>"Muy Baja"</formula>
    </cfRule>
  </conditionalFormatting>
  <conditionalFormatting sqref="H40">
    <cfRule type="cellIs" dxfId="84" priority="137" operator="equal">
      <formula>"Muy Alta"</formula>
    </cfRule>
    <cfRule type="cellIs" dxfId="83" priority="138" operator="equal">
      <formula>"Alta"</formula>
    </cfRule>
    <cfRule type="cellIs" dxfId="82" priority="139" operator="equal">
      <formula>"Media"</formula>
    </cfRule>
    <cfRule type="cellIs" dxfId="81" priority="140" operator="equal">
      <formula>"Baja"</formula>
    </cfRule>
    <cfRule type="cellIs" dxfId="80" priority="141" operator="equal">
      <formula>"Muy Baja"</formula>
    </cfRule>
  </conditionalFormatting>
  <conditionalFormatting sqref="H46">
    <cfRule type="cellIs" dxfId="79" priority="109" operator="equal">
      <formula>"Muy Alta"</formula>
    </cfRule>
    <cfRule type="cellIs" dxfId="78" priority="110" operator="equal">
      <formula>"Alta"</formula>
    </cfRule>
    <cfRule type="cellIs" dxfId="77" priority="111" operator="equal">
      <formula>"Media"</formula>
    </cfRule>
    <cfRule type="cellIs" dxfId="76" priority="112" operator="equal">
      <formula>"Baja"</formula>
    </cfRule>
    <cfRule type="cellIs" dxfId="75" priority="113" operator="equal">
      <formula>"Muy Baja"</formula>
    </cfRule>
  </conditionalFormatting>
  <conditionalFormatting sqref="H52">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H58">
    <cfRule type="cellIs" dxfId="69" priority="53" operator="equal">
      <formula>"Muy Alta"</formula>
    </cfRule>
    <cfRule type="cellIs" dxfId="68" priority="54" operator="equal">
      <formula>"Alta"</formula>
    </cfRule>
    <cfRule type="cellIs" dxfId="67" priority="55" operator="equal">
      <formula>"Media"</formula>
    </cfRule>
    <cfRule type="cellIs" dxfId="66" priority="56" operator="equal">
      <formula>"Baja"</formula>
    </cfRule>
    <cfRule type="cellIs" dxfId="65" priority="57" operator="equal">
      <formula>"Muy Baja"</formula>
    </cfRule>
  </conditionalFormatting>
  <conditionalFormatting sqref="H64">
    <cfRule type="cellIs" dxfId="64" priority="25" operator="equal">
      <formula>"Muy Alta"</formula>
    </cfRule>
    <cfRule type="cellIs" dxfId="63" priority="26" operator="equal">
      <formula>"Alta"</formula>
    </cfRule>
    <cfRule type="cellIs" dxfId="62" priority="27" operator="equal">
      <formula>"Media"</formula>
    </cfRule>
    <cfRule type="cellIs" dxfId="61" priority="28" operator="equal">
      <formula>"Baja"</formula>
    </cfRule>
    <cfRule type="cellIs" dxfId="60" priority="29" operator="equal">
      <formula>"Muy Baja"</formula>
    </cfRule>
  </conditionalFormatting>
  <conditionalFormatting sqref="K10:K69">
    <cfRule type="containsText" dxfId="59" priority="1" operator="containsText" text="❌">
      <formula>NOT(ISERROR(SEARCH("❌",K10)))</formula>
    </cfRule>
  </conditionalFormatting>
  <conditionalFormatting sqref="L10 L16 L22 L28 L34 L40 L46 L52 L58 L64">
    <cfRule type="cellIs" dxfId="58" priority="314" operator="equal">
      <formula>"Catastrófico"</formula>
    </cfRule>
    <cfRule type="cellIs" dxfId="57" priority="315" operator="equal">
      <formula>"Mayor"</formula>
    </cfRule>
    <cfRule type="cellIs" dxfId="56" priority="316" operator="equal">
      <formula>"Moderado"</formula>
    </cfRule>
    <cfRule type="cellIs" dxfId="55" priority="317" operator="equal">
      <formula>"Menor"</formula>
    </cfRule>
    <cfRule type="cellIs" dxfId="54" priority="318" operator="equal">
      <formula>"Leve"</formula>
    </cfRule>
  </conditionalFormatting>
  <conditionalFormatting sqref="N10">
    <cfRule type="cellIs" dxfId="53" priority="310" operator="equal">
      <formula>"Extremo"</formula>
    </cfRule>
    <cfRule type="cellIs" dxfId="52" priority="311" operator="equal">
      <formula>"Alto"</formula>
    </cfRule>
    <cfRule type="cellIs" dxfId="51" priority="312" operator="equal">
      <formula>"Moderado"</formula>
    </cfRule>
    <cfRule type="cellIs" dxfId="50" priority="313" operator="equal">
      <formula>"Bajo"</formula>
    </cfRule>
  </conditionalFormatting>
  <conditionalFormatting sqref="N16">
    <cfRule type="cellIs" dxfId="49" priority="240" operator="equal">
      <formula>"Extremo"</formula>
    </cfRule>
    <cfRule type="cellIs" dxfId="48" priority="241" operator="equal">
      <formula>"Alto"</formula>
    </cfRule>
    <cfRule type="cellIs" dxfId="47" priority="242" operator="equal">
      <formula>"Moderado"</formula>
    </cfRule>
    <cfRule type="cellIs" dxfId="46" priority="243" operator="equal">
      <formula>"Bajo"</formula>
    </cfRule>
  </conditionalFormatting>
  <conditionalFormatting sqref="N22">
    <cfRule type="cellIs" dxfId="45" priority="212" operator="equal">
      <formula>"Extremo"</formula>
    </cfRule>
    <cfRule type="cellIs" dxfId="44" priority="213" operator="equal">
      <formula>"Alto"</formula>
    </cfRule>
    <cfRule type="cellIs" dxfId="43" priority="214" operator="equal">
      <formula>"Moderado"</formula>
    </cfRule>
    <cfRule type="cellIs" dxfId="42" priority="215" operator="equal">
      <formula>"Bajo"</formula>
    </cfRule>
  </conditionalFormatting>
  <conditionalFormatting sqref="N28">
    <cfRule type="cellIs" dxfId="41" priority="184" operator="equal">
      <formula>"Extremo"</formula>
    </cfRule>
    <cfRule type="cellIs" dxfId="40" priority="185" operator="equal">
      <formula>"Alto"</formula>
    </cfRule>
    <cfRule type="cellIs" dxfId="39" priority="186" operator="equal">
      <formula>"Moderado"</formula>
    </cfRule>
    <cfRule type="cellIs" dxfId="38" priority="187" operator="equal">
      <formula>"Bajo"</formula>
    </cfRule>
  </conditionalFormatting>
  <conditionalFormatting sqref="N34">
    <cfRule type="cellIs" dxfId="37" priority="156" operator="equal">
      <formula>"Extremo"</formula>
    </cfRule>
    <cfRule type="cellIs" dxfId="36" priority="157" operator="equal">
      <formula>"Alto"</formula>
    </cfRule>
    <cfRule type="cellIs" dxfId="35" priority="158" operator="equal">
      <formula>"Moderado"</formula>
    </cfRule>
    <cfRule type="cellIs" dxfId="34" priority="159" operator="equal">
      <formula>"Bajo"</formula>
    </cfRule>
  </conditionalFormatting>
  <conditionalFormatting sqref="N40">
    <cfRule type="cellIs" dxfId="33" priority="128" operator="equal">
      <formula>"Extremo"</formula>
    </cfRule>
    <cfRule type="cellIs" dxfId="32" priority="129" operator="equal">
      <formula>"Alto"</formula>
    </cfRule>
    <cfRule type="cellIs" dxfId="31" priority="130" operator="equal">
      <formula>"Moderado"</formula>
    </cfRule>
    <cfRule type="cellIs" dxfId="30" priority="131" operator="equal">
      <formula>"Bajo"</formula>
    </cfRule>
  </conditionalFormatting>
  <conditionalFormatting sqref="N46">
    <cfRule type="cellIs" dxfId="29" priority="100" operator="equal">
      <formula>"Extremo"</formula>
    </cfRule>
    <cfRule type="cellIs" dxfId="28" priority="101" operator="equal">
      <formula>"Alto"</formula>
    </cfRule>
    <cfRule type="cellIs" dxfId="27" priority="102" operator="equal">
      <formula>"Moderado"</formula>
    </cfRule>
    <cfRule type="cellIs" dxfId="26" priority="103" operator="equal">
      <formula>"Bajo"</formula>
    </cfRule>
  </conditionalFormatting>
  <conditionalFormatting sqref="N52">
    <cfRule type="cellIs" dxfId="25" priority="72" operator="equal">
      <formula>"Extremo"</formula>
    </cfRule>
    <cfRule type="cellIs" dxfId="24" priority="73" operator="equal">
      <formula>"Alto"</formula>
    </cfRule>
    <cfRule type="cellIs" dxfId="23" priority="74" operator="equal">
      <formula>"Moderado"</formula>
    </cfRule>
    <cfRule type="cellIs" dxfId="22" priority="75" operator="equal">
      <formula>"Bajo"</formula>
    </cfRule>
  </conditionalFormatting>
  <conditionalFormatting sqref="N58">
    <cfRule type="cellIs" dxfId="21" priority="44" operator="equal">
      <formula>"Extremo"</formula>
    </cfRule>
    <cfRule type="cellIs" dxfId="20" priority="45" operator="equal">
      <formula>"Alto"</formula>
    </cfRule>
    <cfRule type="cellIs" dxfId="19" priority="46" operator="equal">
      <formula>"Moderado"</formula>
    </cfRule>
    <cfRule type="cellIs" dxfId="18" priority="47" operator="equal">
      <formula>"Bajo"</formula>
    </cfRule>
  </conditionalFormatting>
  <conditionalFormatting sqref="N64">
    <cfRule type="cellIs" dxfId="17" priority="16" operator="equal">
      <formula>"Extremo"</formula>
    </cfRule>
    <cfRule type="cellIs" dxfId="16" priority="17" operator="equal">
      <formula>"Alto"</formula>
    </cfRule>
    <cfRule type="cellIs" dxfId="15" priority="18" operator="equal">
      <formula>"Moderado"</formula>
    </cfRule>
    <cfRule type="cellIs" dxfId="14" priority="19" operator="equal">
      <formula>"Bajo"</formula>
    </cfRule>
  </conditionalFormatting>
  <conditionalFormatting sqref="Y10:Y69">
    <cfRule type="cellIs" dxfId="13" priority="11" operator="equal">
      <formula>"Muy Alta"</formula>
    </cfRule>
    <cfRule type="cellIs" dxfId="12" priority="12" operator="equal">
      <formula>"Alta"</formula>
    </cfRule>
    <cfRule type="cellIs" dxfId="11" priority="13" operator="equal">
      <formula>"Media"</formula>
    </cfRule>
    <cfRule type="cellIs" dxfId="10" priority="14" operator="equal">
      <formula>"Baja"</formula>
    </cfRule>
    <cfRule type="cellIs" dxfId="9" priority="15" operator="equal">
      <formula>"Muy Baja"</formula>
    </cfRule>
  </conditionalFormatting>
  <conditionalFormatting sqref="AA10:AA69">
    <cfRule type="cellIs" dxfId="8" priority="6" operator="equal">
      <formula>"Catastrófico"</formula>
    </cfRule>
    <cfRule type="cellIs" dxfId="7" priority="7" operator="equal">
      <formula>"Mayor"</formula>
    </cfRule>
    <cfRule type="cellIs" dxfId="6" priority="8" operator="equal">
      <formula>"Moderado"</formula>
    </cfRule>
    <cfRule type="cellIs" dxfId="5" priority="9" operator="equal">
      <formula>"Menor"</formula>
    </cfRule>
    <cfRule type="cellIs" dxfId="4" priority="10" operator="equal">
      <formula>"Leve"</formula>
    </cfRule>
  </conditionalFormatting>
  <conditionalFormatting sqref="AC10:AC69">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pageMargins left="0.70866141732283472" right="0.70866141732283472" top="0.74803149606299213" bottom="0.74803149606299213" header="0.31496062992125984" footer="0.31496062992125984"/>
  <pageSetup scale="14" fitToHeight="0" orientation="landscape"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BF20" sqref="BF20"/>
    </sheetView>
  </sheetViews>
  <sheetFormatPr baseColWidth="10" defaultRowHeight="15" x14ac:dyDescent="0.25"/>
  <cols>
    <col min="2" max="39" width="5.7109375" customWidth="1"/>
    <col min="41" max="46" width="5.7109375" customWidth="1"/>
  </cols>
  <sheetData>
    <row r="1" spans="1:99"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row>
    <row r="2" spans="1:99" ht="18" customHeight="1" x14ac:dyDescent="0.25">
      <c r="A2" s="97"/>
      <c r="B2" s="331" t="s">
        <v>161</v>
      </c>
      <c r="C2" s="331"/>
      <c r="D2" s="331"/>
      <c r="E2" s="331"/>
      <c r="F2" s="331"/>
      <c r="G2" s="331"/>
      <c r="H2" s="331"/>
      <c r="I2" s="331"/>
      <c r="J2" s="299" t="s">
        <v>2</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row>
    <row r="3" spans="1:99" ht="18.75" customHeight="1" x14ac:dyDescent="0.25">
      <c r="A3" s="97"/>
      <c r="B3" s="331"/>
      <c r="C3" s="331"/>
      <c r="D3" s="331"/>
      <c r="E3" s="331"/>
      <c r="F3" s="331"/>
      <c r="G3" s="331"/>
      <c r="H3" s="331"/>
      <c r="I3" s="331"/>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row>
    <row r="4" spans="1:99" ht="15" customHeight="1" x14ac:dyDescent="0.25">
      <c r="A4" s="97"/>
      <c r="B4" s="331"/>
      <c r="C4" s="331"/>
      <c r="D4" s="331"/>
      <c r="E4" s="331"/>
      <c r="F4" s="331"/>
      <c r="G4" s="331"/>
      <c r="H4" s="331"/>
      <c r="I4" s="331"/>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row>
    <row r="5" spans="1:99" ht="15.75" thickBot="1" x14ac:dyDescent="0.3">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row>
    <row r="6" spans="1:99" ht="15" customHeight="1" x14ac:dyDescent="0.25">
      <c r="A6" s="97"/>
      <c r="B6" s="246" t="s">
        <v>4</v>
      </c>
      <c r="C6" s="246"/>
      <c r="D6" s="247"/>
      <c r="E6" s="284" t="s">
        <v>116</v>
      </c>
      <c r="F6" s="285"/>
      <c r="G6" s="285"/>
      <c r="H6" s="285"/>
      <c r="I6" s="286"/>
      <c r="J6" s="295" t="str">
        <f>IF(AND('Mapa final'!$H$10="Muy Alta",'Mapa final'!$L$10="Leve"),CONCATENATE("R",'Mapa final'!$A$10),"")</f>
        <v/>
      </c>
      <c r="K6" s="296"/>
      <c r="L6" s="296" t="str">
        <f>IF(AND('Mapa final'!$H$16="Muy Alta",'Mapa final'!$L$16="Leve"),CONCATENATE("R",'Mapa final'!$A$16),"")</f>
        <v/>
      </c>
      <c r="M6" s="296"/>
      <c r="N6" s="296" t="str">
        <f>IF(AND('Mapa final'!$H$22="Muy Alta",'Mapa final'!$L$22="Leve"),CONCATENATE("R",'Mapa final'!$A$22),"")</f>
        <v/>
      </c>
      <c r="O6" s="298"/>
      <c r="P6" s="295" t="str">
        <f>IF(AND('Mapa final'!$H$10="Muy Alta",'Mapa final'!$L$10="Menor"),CONCATENATE("R",'Mapa final'!$A$10),"")</f>
        <v/>
      </c>
      <c r="Q6" s="296"/>
      <c r="R6" s="296" t="str">
        <f>IF(AND('Mapa final'!$H$16="Muy Alta",'Mapa final'!$L$16="Menor"),CONCATENATE("R",'Mapa final'!$A$16),"")</f>
        <v/>
      </c>
      <c r="S6" s="296"/>
      <c r="T6" s="296" t="str">
        <f>IF(AND('Mapa final'!$H$22="Muy Alta",'Mapa final'!$L$22="Menor"),CONCATENATE("R",'Mapa final'!$A$22),"")</f>
        <v/>
      </c>
      <c r="U6" s="298"/>
      <c r="V6" s="295" t="str">
        <f>IF(AND('Mapa final'!$H$10="Muy Alta",'Mapa final'!$L$10="Moderado"),CONCATENATE("R",'Mapa final'!$A$10),"")</f>
        <v/>
      </c>
      <c r="W6" s="296"/>
      <c r="X6" s="296" t="str">
        <f>IF(AND('Mapa final'!$H$16="Muy Alta",'Mapa final'!$L$16="Moderado"),CONCATENATE("R",'Mapa final'!$A$16),"")</f>
        <v/>
      </c>
      <c r="Y6" s="296"/>
      <c r="Z6" s="296" t="str">
        <f>IF(AND('Mapa final'!$H$22="Muy Alta",'Mapa final'!$L$22="Moderado"),CONCATENATE("R",'Mapa final'!$A$22),"")</f>
        <v/>
      </c>
      <c r="AA6" s="298"/>
      <c r="AB6" s="295" t="str">
        <f>IF(AND('Mapa final'!$H$10="Muy Alta",'Mapa final'!$L$10="Mayor"),CONCATENATE("R",'Mapa final'!$A$10),"")</f>
        <v/>
      </c>
      <c r="AC6" s="296"/>
      <c r="AD6" s="296" t="str">
        <f>IF(AND('Mapa final'!$H$16="Muy Alta",'Mapa final'!$L$16="Mayor"),CONCATENATE("R",'Mapa final'!$A$16),"")</f>
        <v/>
      </c>
      <c r="AE6" s="296"/>
      <c r="AF6" s="296" t="str">
        <f>IF(AND('Mapa final'!$H$22="Muy Alta",'Mapa final'!$L$22="Mayor"),CONCATENATE("R",'Mapa final'!$A$22),"")</f>
        <v/>
      </c>
      <c r="AG6" s="298"/>
      <c r="AH6" s="310" t="str">
        <f>IF(AND('Mapa final'!$H$10="Muy Alta",'Mapa final'!$L$10="Catastrófico"),CONCATENATE("R",'Mapa final'!$A$10),"")</f>
        <v/>
      </c>
      <c r="AI6" s="311"/>
      <c r="AJ6" s="311" t="str">
        <f>IF(AND('Mapa final'!$H$16="Muy Alta",'Mapa final'!$L$16="Catastrófico"),CONCATENATE("R",'Mapa final'!$A$16),"")</f>
        <v/>
      </c>
      <c r="AK6" s="311"/>
      <c r="AL6" s="311" t="str">
        <f>IF(AND('Mapa final'!$H$22="Muy Alta",'Mapa final'!$L$22="Catastrófico"),CONCATENATE("R",'Mapa final'!$A$22),"")</f>
        <v/>
      </c>
      <c r="AM6" s="312"/>
      <c r="AO6" s="248" t="s">
        <v>79</v>
      </c>
      <c r="AP6" s="249"/>
      <c r="AQ6" s="249"/>
      <c r="AR6" s="249"/>
      <c r="AS6" s="249"/>
      <c r="AT6" s="250"/>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row>
    <row r="7" spans="1:99" ht="15" customHeight="1" x14ac:dyDescent="0.25">
      <c r="A7" s="97"/>
      <c r="B7" s="246"/>
      <c r="C7" s="246"/>
      <c r="D7" s="247"/>
      <c r="E7" s="287"/>
      <c r="F7" s="288"/>
      <c r="G7" s="288"/>
      <c r="H7" s="288"/>
      <c r="I7" s="289"/>
      <c r="J7" s="297"/>
      <c r="K7" s="293"/>
      <c r="L7" s="293"/>
      <c r="M7" s="293"/>
      <c r="N7" s="293"/>
      <c r="O7" s="294"/>
      <c r="P7" s="297"/>
      <c r="Q7" s="293"/>
      <c r="R7" s="293"/>
      <c r="S7" s="293"/>
      <c r="T7" s="293"/>
      <c r="U7" s="294"/>
      <c r="V7" s="297"/>
      <c r="W7" s="293"/>
      <c r="X7" s="293"/>
      <c r="Y7" s="293"/>
      <c r="Z7" s="293"/>
      <c r="AA7" s="294"/>
      <c r="AB7" s="297"/>
      <c r="AC7" s="293"/>
      <c r="AD7" s="293"/>
      <c r="AE7" s="293"/>
      <c r="AF7" s="293"/>
      <c r="AG7" s="294"/>
      <c r="AH7" s="304"/>
      <c r="AI7" s="305"/>
      <c r="AJ7" s="305"/>
      <c r="AK7" s="305"/>
      <c r="AL7" s="305"/>
      <c r="AM7" s="306"/>
      <c r="AN7" s="97"/>
      <c r="AO7" s="251"/>
      <c r="AP7" s="252"/>
      <c r="AQ7" s="252"/>
      <c r="AR7" s="252"/>
      <c r="AS7" s="252"/>
      <c r="AT7" s="253"/>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row>
    <row r="8" spans="1:99" ht="15" customHeight="1" x14ac:dyDescent="0.25">
      <c r="A8" s="97"/>
      <c r="B8" s="246"/>
      <c r="C8" s="246"/>
      <c r="D8" s="247"/>
      <c r="E8" s="287"/>
      <c r="F8" s="288"/>
      <c r="G8" s="288"/>
      <c r="H8" s="288"/>
      <c r="I8" s="289"/>
      <c r="J8" s="297" t="str">
        <f>IF(AND('Mapa final'!$H$28="Muy Alta",'Mapa final'!$L$28="Leve"),CONCATENATE("R",'Mapa final'!$A$28),"")</f>
        <v/>
      </c>
      <c r="K8" s="293"/>
      <c r="L8" s="293" t="str">
        <f>IF(AND('Mapa final'!$H$34="Muy Alta",'Mapa final'!$L$34="Leve"),CONCATENATE("R",'Mapa final'!$A$34),"")</f>
        <v/>
      </c>
      <c r="M8" s="293"/>
      <c r="N8" s="293" t="str">
        <f>IF(AND('Mapa final'!$H$40="Muy Alta",'Mapa final'!$L$40="Leve"),CONCATENATE("R",'Mapa final'!$A$40),"")</f>
        <v/>
      </c>
      <c r="O8" s="294"/>
      <c r="P8" s="297" t="str">
        <f>IF(AND('Mapa final'!$H$28="Muy Alta",'Mapa final'!$L$28="Menor"),CONCATENATE("R",'Mapa final'!$A$28),"")</f>
        <v/>
      </c>
      <c r="Q8" s="293"/>
      <c r="R8" s="293" t="str">
        <f>IF(AND('Mapa final'!$H$34="Muy Alta",'Mapa final'!$L$34="Menor"),CONCATENATE("R",'Mapa final'!$A$34),"")</f>
        <v/>
      </c>
      <c r="S8" s="293"/>
      <c r="T8" s="293" t="str">
        <f>IF(AND('Mapa final'!$H$40="Muy Alta",'Mapa final'!$L$40="Menor"),CONCATENATE("R",'Mapa final'!$A$40),"")</f>
        <v/>
      </c>
      <c r="U8" s="294"/>
      <c r="V8" s="297" t="str">
        <f>IF(AND('Mapa final'!$H$28="Muy Alta",'Mapa final'!$L$28="Moderado"),CONCATENATE("R",'Mapa final'!$A$28),"")</f>
        <v/>
      </c>
      <c r="W8" s="293"/>
      <c r="X8" s="293" t="str">
        <f>IF(AND('Mapa final'!$H$34="Muy Alta",'Mapa final'!$L$34="Moderado"),CONCATENATE("R",'Mapa final'!$A$34),"")</f>
        <v/>
      </c>
      <c r="Y8" s="293"/>
      <c r="Z8" s="293" t="str">
        <f>IF(AND('Mapa final'!$H$40="Muy Alta",'Mapa final'!$L$40="Moderado"),CONCATENATE("R",'Mapa final'!$A$40),"")</f>
        <v/>
      </c>
      <c r="AA8" s="294"/>
      <c r="AB8" s="297" t="str">
        <f>IF(AND('Mapa final'!$H$28="Muy Alta",'Mapa final'!$L$28="Mayor"),CONCATENATE("R",'Mapa final'!$A$28),"")</f>
        <v/>
      </c>
      <c r="AC8" s="293"/>
      <c r="AD8" s="293" t="str">
        <f>IF(AND('Mapa final'!$H$34="Muy Alta",'Mapa final'!$L$34="Mayor"),CONCATENATE("R",'Mapa final'!$A$34),"")</f>
        <v/>
      </c>
      <c r="AE8" s="293"/>
      <c r="AF8" s="293" t="str">
        <f>IF(AND('Mapa final'!$H$40="Muy Alta",'Mapa final'!$L$40="Mayor"),CONCATENATE("R",'Mapa final'!$A$40),"")</f>
        <v/>
      </c>
      <c r="AG8" s="294"/>
      <c r="AH8" s="304" t="str">
        <f>IF(AND('Mapa final'!$H$28="Muy Alta",'Mapa final'!$L$28="Catastrófico"),CONCATENATE("R",'Mapa final'!$A$28),"")</f>
        <v/>
      </c>
      <c r="AI8" s="305"/>
      <c r="AJ8" s="305" t="str">
        <f>IF(AND('Mapa final'!$H$34="Muy Alta",'Mapa final'!$L$34="Catastrófico"),CONCATENATE("R",'Mapa final'!$A$34),"")</f>
        <v/>
      </c>
      <c r="AK8" s="305"/>
      <c r="AL8" s="305" t="str">
        <f>IF(AND('Mapa final'!$H$40="Muy Alta",'Mapa final'!$L$40="Catastrófico"),CONCATENATE("R",'Mapa final'!$A$40),"")</f>
        <v/>
      </c>
      <c r="AM8" s="306"/>
      <c r="AN8" s="97"/>
      <c r="AO8" s="251"/>
      <c r="AP8" s="252"/>
      <c r="AQ8" s="252"/>
      <c r="AR8" s="252"/>
      <c r="AS8" s="252"/>
      <c r="AT8" s="253"/>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row>
    <row r="9" spans="1:99" ht="15" customHeight="1" x14ac:dyDescent="0.25">
      <c r="A9" s="97"/>
      <c r="B9" s="246"/>
      <c r="C9" s="246"/>
      <c r="D9" s="247"/>
      <c r="E9" s="287"/>
      <c r="F9" s="288"/>
      <c r="G9" s="288"/>
      <c r="H9" s="288"/>
      <c r="I9" s="289"/>
      <c r="J9" s="297"/>
      <c r="K9" s="293"/>
      <c r="L9" s="293"/>
      <c r="M9" s="293"/>
      <c r="N9" s="293"/>
      <c r="O9" s="294"/>
      <c r="P9" s="297"/>
      <c r="Q9" s="293"/>
      <c r="R9" s="293"/>
      <c r="S9" s="293"/>
      <c r="T9" s="293"/>
      <c r="U9" s="294"/>
      <c r="V9" s="297"/>
      <c r="W9" s="293"/>
      <c r="X9" s="293"/>
      <c r="Y9" s="293"/>
      <c r="Z9" s="293"/>
      <c r="AA9" s="294"/>
      <c r="AB9" s="297"/>
      <c r="AC9" s="293"/>
      <c r="AD9" s="293"/>
      <c r="AE9" s="293"/>
      <c r="AF9" s="293"/>
      <c r="AG9" s="294"/>
      <c r="AH9" s="304"/>
      <c r="AI9" s="305"/>
      <c r="AJ9" s="305"/>
      <c r="AK9" s="305"/>
      <c r="AL9" s="305"/>
      <c r="AM9" s="306"/>
      <c r="AN9" s="97"/>
      <c r="AO9" s="251"/>
      <c r="AP9" s="252"/>
      <c r="AQ9" s="252"/>
      <c r="AR9" s="252"/>
      <c r="AS9" s="252"/>
      <c r="AT9" s="253"/>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row>
    <row r="10" spans="1:99" ht="15" customHeight="1" x14ac:dyDescent="0.25">
      <c r="A10" s="97"/>
      <c r="B10" s="246"/>
      <c r="C10" s="246"/>
      <c r="D10" s="247"/>
      <c r="E10" s="287"/>
      <c r="F10" s="288"/>
      <c r="G10" s="288"/>
      <c r="H10" s="288"/>
      <c r="I10" s="289"/>
      <c r="J10" s="297" t="str">
        <f>IF(AND('Mapa final'!$H$46="Muy Alta",'Mapa final'!$L$46="Leve"),CONCATENATE("R",'Mapa final'!$A$46),"")</f>
        <v/>
      </c>
      <c r="K10" s="293"/>
      <c r="L10" s="293" t="str">
        <f>IF(AND('Mapa final'!$H$52="Muy Alta",'Mapa final'!$L$52="Leve"),CONCATENATE("R",'Mapa final'!$A$52),"")</f>
        <v/>
      </c>
      <c r="M10" s="293"/>
      <c r="N10" s="293" t="str">
        <f>IF(AND('Mapa final'!$H$58="Muy Alta",'Mapa final'!$L$58="Leve"),CONCATENATE("R",'Mapa final'!$A$58),"")</f>
        <v/>
      </c>
      <c r="O10" s="294"/>
      <c r="P10" s="297" t="str">
        <f>IF(AND('Mapa final'!$H$46="Muy Alta",'Mapa final'!$L$46="Menor"),CONCATENATE("R",'Mapa final'!$A$46),"")</f>
        <v/>
      </c>
      <c r="Q10" s="293"/>
      <c r="R10" s="293" t="str">
        <f>IF(AND('Mapa final'!$H$52="Muy Alta",'Mapa final'!$L$52="Menor"),CONCATENATE("R",'Mapa final'!$A$52),"")</f>
        <v/>
      </c>
      <c r="S10" s="293"/>
      <c r="T10" s="293" t="str">
        <f>IF(AND('Mapa final'!$H$58="Muy Alta",'Mapa final'!$L$58="Menor"),CONCATENATE("R",'Mapa final'!$A$58),"")</f>
        <v/>
      </c>
      <c r="U10" s="294"/>
      <c r="V10" s="297" t="str">
        <f>IF(AND('Mapa final'!$H$46="Muy Alta",'Mapa final'!$L$46="Moderado"),CONCATENATE("R",'Mapa final'!$A$46),"")</f>
        <v/>
      </c>
      <c r="W10" s="293"/>
      <c r="X10" s="293" t="str">
        <f>IF(AND('Mapa final'!$H$52="Muy Alta",'Mapa final'!$L$52="Moderado"),CONCATENATE("R",'Mapa final'!$A$52),"")</f>
        <v/>
      </c>
      <c r="Y10" s="293"/>
      <c r="Z10" s="293" t="str">
        <f>IF(AND('Mapa final'!$H$58="Muy Alta",'Mapa final'!$L$58="Moderado"),CONCATENATE("R",'Mapa final'!$A$58),"")</f>
        <v/>
      </c>
      <c r="AA10" s="294"/>
      <c r="AB10" s="297" t="str">
        <f>IF(AND('Mapa final'!$H$46="Muy Alta",'Mapa final'!$L$46="Mayor"),CONCATENATE("R",'Mapa final'!$A$46),"")</f>
        <v/>
      </c>
      <c r="AC10" s="293"/>
      <c r="AD10" s="293" t="str">
        <f>IF(AND('Mapa final'!$H$52="Muy Alta",'Mapa final'!$L$52="Mayor"),CONCATENATE("R",'Mapa final'!$A$52),"")</f>
        <v/>
      </c>
      <c r="AE10" s="293"/>
      <c r="AF10" s="293" t="str">
        <f>IF(AND('Mapa final'!$H$58="Muy Alta",'Mapa final'!$L$58="Mayor"),CONCATENATE("R",'Mapa final'!$A$58),"")</f>
        <v/>
      </c>
      <c r="AG10" s="294"/>
      <c r="AH10" s="304" t="str">
        <f>IF(AND('Mapa final'!$H$46="Muy Alta",'Mapa final'!$L$46="Catastrófico"),CONCATENATE("R",'Mapa final'!$A$46),"")</f>
        <v/>
      </c>
      <c r="AI10" s="305"/>
      <c r="AJ10" s="305" t="str">
        <f>IF(AND('Mapa final'!$H$52="Muy Alta",'Mapa final'!$L$52="Catastrófico"),CONCATENATE("R",'Mapa final'!$A$52),"")</f>
        <v/>
      </c>
      <c r="AK10" s="305"/>
      <c r="AL10" s="305" t="str">
        <f>IF(AND('Mapa final'!$H$58="Muy Alta",'Mapa final'!$L$58="Catastrófico"),CONCATENATE("R",'Mapa final'!$A$58),"")</f>
        <v/>
      </c>
      <c r="AM10" s="306"/>
      <c r="AN10" s="97"/>
      <c r="AO10" s="251"/>
      <c r="AP10" s="252"/>
      <c r="AQ10" s="252"/>
      <c r="AR10" s="252"/>
      <c r="AS10" s="252"/>
      <c r="AT10" s="253"/>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row>
    <row r="11" spans="1:99" ht="15" customHeight="1" x14ac:dyDescent="0.25">
      <c r="A11" s="97"/>
      <c r="B11" s="246"/>
      <c r="C11" s="246"/>
      <c r="D11" s="247"/>
      <c r="E11" s="287"/>
      <c r="F11" s="288"/>
      <c r="G11" s="288"/>
      <c r="H11" s="288"/>
      <c r="I11" s="289"/>
      <c r="J11" s="297"/>
      <c r="K11" s="293"/>
      <c r="L11" s="293"/>
      <c r="M11" s="293"/>
      <c r="N11" s="293"/>
      <c r="O11" s="294"/>
      <c r="P11" s="297"/>
      <c r="Q11" s="293"/>
      <c r="R11" s="293"/>
      <c r="S11" s="293"/>
      <c r="T11" s="293"/>
      <c r="U11" s="294"/>
      <c r="V11" s="297"/>
      <c r="W11" s="293"/>
      <c r="X11" s="293"/>
      <c r="Y11" s="293"/>
      <c r="Z11" s="293"/>
      <c r="AA11" s="294"/>
      <c r="AB11" s="297"/>
      <c r="AC11" s="293"/>
      <c r="AD11" s="293"/>
      <c r="AE11" s="293"/>
      <c r="AF11" s="293"/>
      <c r="AG11" s="294"/>
      <c r="AH11" s="304"/>
      <c r="AI11" s="305"/>
      <c r="AJ11" s="305"/>
      <c r="AK11" s="305"/>
      <c r="AL11" s="305"/>
      <c r="AM11" s="306"/>
      <c r="AN11" s="97"/>
      <c r="AO11" s="251"/>
      <c r="AP11" s="252"/>
      <c r="AQ11" s="252"/>
      <c r="AR11" s="252"/>
      <c r="AS11" s="252"/>
      <c r="AT11" s="253"/>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row>
    <row r="12" spans="1:99" ht="15" customHeight="1" x14ac:dyDescent="0.25">
      <c r="A12" s="97"/>
      <c r="B12" s="246"/>
      <c r="C12" s="246"/>
      <c r="D12" s="247"/>
      <c r="E12" s="287"/>
      <c r="F12" s="288"/>
      <c r="G12" s="288"/>
      <c r="H12" s="288"/>
      <c r="I12" s="289"/>
      <c r="J12" s="297" t="str">
        <f>IF(AND('Mapa final'!$H$64="Muy Alta",'Mapa final'!$L$64="Leve"),CONCATENATE("R",'Mapa final'!$A$64),"")</f>
        <v/>
      </c>
      <c r="K12" s="293"/>
      <c r="L12" s="293" t="str">
        <f>IF(AND('Mapa final'!$H$70="Muy Alta",'Mapa final'!$L$70="Leve"),CONCATENATE("R",'Mapa final'!$A$70),"")</f>
        <v/>
      </c>
      <c r="M12" s="293"/>
      <c r="N12" s="293" t="str">
        <f>IF(AND('Mapa final'!$H$76="Muy Alta",'Mapa final'!$L$76="Leve"),CONCATENATE("R",'Mapa final'!$A$76),"")</f>
        <v/>
      </c>
      <c r="O12" s="294"/>
      <c r="P12" s="297" t="str">
        <f>IF(AND('Mapa final'!$H$64="Muy Alta",'Mapa final'!$L$64="Menor"),CONCATENATE("R",'Mapa final'!$A$64),"")</f>
        <v/>
      </c>
      <c r="Q12" s="293"/>
      <c r="R12" s="293" t="str">
        <f>IF(AND('Mapa final'!$H$70="Muy Alta",'Mapa final'!$L$70="Menor"),CONCATENATE("R",'Mapa final'!$A$70),"")</f>
        <v/>
      </c>
      <c r="S12" s="293"/>
      <c r="T12" s="293" t="str">
        <f>IF(AND('Mapa final'!$H$76="Muy Alta",'Mapa final'!$L$76="Menor"),CONCATENATE("R",'Mapa final'!$A$76),"")</f>
        <v/>
      </c>
      <c r="U12" s="294"/>
      <c r="V12" s="297" t="str">
        <f>IF(AND('Mapa final'!$H$64="Muy Alta",'Mapa final'!$L$64="Moderado"),CONCATENATE("R",'Mapa final'!$A$64),"")</f>
        <v/>
      </c>
      <c r="W12" s="293"/>
      <c r="X12" s="293" t="str">
        <f>IF(AND('Mapa final'!$H$70="Muy Alta",'Mapa final'!$L$70="Moderado"),CONCATENATE("R",'Mapa final'!$A$70),"")</f>
        <v/>
      </c>
      <c r="Y12" s="293"/>
      <c r="Z12" s="293" t="str">
        <f>IF(AND('Mapa final'!$H$76="Muy Alta",'Mapa final'!$L$76="Moderado"),CONCATENATE("R",'Mapa final'!$A$76),"")</f>
        <v/>
      </c>
      <c r="AA12" s="294"/>
      <c r="AB12" s="297" t="str">
        <f>IF(AND('Mapa final'!$H$64="Muy Alta",'Mapa final'!$L$64="Mayor"),CONCATENATE("R",'Mapa final'!$A$64),"")</f>
        <v/>
      </c>
      <c r="AC12" s="293"/>
      <c r="AD12" s="293" t="str">
        <f>IF(AND('Mapa final'!$H$70="Muy Alta",'Mapa final'!$L$70="Mayor"),CONCATENATE("R",'Mapa final'!$A$70),"")</f>
        <v/>
      </c>
      <c r="AE12" s="293"/>
      <c r="AF12" s="293" t="str">
        <f>IF(AND('Mapa final'!$H$76="Muy Alta",'Mapa final'!$L$76="Mayor"),CONCATENATE("R",'Mapa final'!$A$76),"")</f>
        <v/>
      </c>
      <c r="AG12" s="294"/>
      <c r="AH12" s="304" t="str">
        <f>IF(AND('Mapa final'!$H$64="Muy Alta",'Mapa final'!$L$64="Catastrófico"),CONCATENATE("R",'Mapa final'!$A$64),"")</f>
        <v/>
      </c>
      <c r="AI12" s="305"/>
      <c r="AJ12" s="305" t="str">
        <f>IF(AND('Mapa final'!$H$70="Muy Alta",'Mapa final'!$L$70="Catastrófico"),CONCATENATE("R",'Mapa final'!$A$70),"")</f>
        <v/>
      </c>
      <c r="AK12" s="305"/>
      <c r="AL12" s="305" t="str">
        <f>IF(AND('Mapa final'!$H$76="Muy Alta",'Mapa final'!$L$76="Catastrófico"),CONCATENATE("R",'Mapa final'!$A$76),"")</f>
        <v/>
      </c>
      <c r="AM12" s="306"/>
      <c r="AN12" s="97"/>
      <c r="AO12" s="251"/>
      <c r="AP12" s="252"/>
      <c r="AQ12" s="252"/>
      <c r="AR12" s="252"/>
      <c r="AS12" s="252"/>
      <c r="AT12" s="253"/>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row>
    <row r="13" spans="1:99" ht="15.75" customHeight="1" thickBot="1" x14ac:dyDescent="0.3">
      <c r="A13" s="97"/>
      <c r="B13" s="246"/>
      <c r="C13" s="246"/>
      <c r="D13" s="247"/>
      <c r="E13" s="290"/>
      <c r="F13" s="291"/>
      <c r="G13" s="291"/>
      <c r="H13" s="291"/>
      <c r="I13" s="292"/>
      <c r="J13" s="297"/>
      <c r="K13" s="293"/>
      <c r="L13" s="293"/>
      <c r="M13" s="293"/>
      <c r="N13" s="293"/>
      <c r="O13" s="294"/>
      <c r="P13" s="297"/>
      <c r="Q13" s="293"/>
      <c r="R13" s="293"/>
      <c r="S13" s="293"/>
      <c r="T13" s="293"/>
      <c r="U13" s="294"/>
      <c r="V13" s="297"/>
      <c r="W13" s="293"/>
      <c r="X13" s="293"/>
      <c r="Y13" s="293"/>
      <c r="Z13" s="293"/>
      <c r="AA13" s="294"/>
      <c r="AB13" s="297"/>
      <c r="AC13" s="293"/>
      <c r="AD13" s="293"/>
      <c r="AE13" s="293"/>
      <c r="AF13" s="293"/>
      <c r="AG13" s="294"/>
      <c r="AH13" s="307"/>
      <c r="AI13" s="308"/>
      <c r="AJ13" s="308"/>
      <c r="AK13" s="308"/>
      <c r="AL13" s="308"/>
      <c r="AM13" s="309"/>
      <c r="AN13" s="97"/>
      <c r="AO13" s="254"/>
      <c r="AP13" s="255"/>
      <c r="AQ13" s="255"/>
      <c r="AR13" s="255"/>
      <c r="AS13" s="255"/>
      <c r="AT13" s="256"/>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row>
    <row r="14" spans="1:99" ht="15" customHeight="1" x14ac:dyDescent="0.25">
      <c r="A14" s="97"/>
      <c r="B14" s="246"/>
      <c r="C14" s="246"/>
      <c r="D14" s="247"/>
      <c r="E14" s="284" t="s">
        <v>115</v>
      </c>
      <c r="F14" s="285"/>
      <c r="G14" s="285"/>
      <c r="H14" s="285"/>
      <c r="I14" s="285"/>
      <c r="J14" s="319" t="str">
        <f>IF(AND('Mapa final'!$H$10="Alta",'Mapa final'!$L$10="Leve"),CONCATENATE("R",'Mapa final'!$A$10),"")</f>
        <v/>
      </c>
      <c r="K14" s="320"/>
      <c r="L14" s="320" t="str">
        <f>IF(AND('Mapa final'!$H$16="Alta",'Mapa final'!$L$16="Leve"),CONCATENATE("R",'Mapa final'!$A$16),"")</f>
        <v/>
      </c>
      <c r="M14" s="320"/>
      <c r="N14" s="320" t="str">
        <f>IF(AND('Mapa final'!$H$22="Alta",'Mapa final'!$L$22="Leve"),CONCATENATE("R",'Mapa final'!$A$22),"")</f>
        <v/>
      </c>
      <c r="O14" s="321"/>
      <c r="P14" s="319" t="str">
        <f>IF(AND('Mapa final'!$H$10="Alta",'Mapa final'!$L$10="Menor"),CONCATENATE("R",'Mapa final'!$A$10),"")</f>
        <v/>
      </c>
      <c r="Q14" s="320"/>
      <c r="R14" s="320" t="str">
        <f>IF(AND('Mapa final'!$H$16="Alta",'Mapa final'!$L$16="Menor"),CONCATENATE("R",'Mapa final'!$A$16),"")</f>
        <v/>
      </c>
      <c r="S14" s="320"/>
      <c r="T14" s="320" t="str">
        <f>IF(AND('Mapa final'!$H$22="Alta",'Mapa final'!$L$22="Menor"),CONCATENATE("R",'Mapa final'!$A$22),"")</f>
        <v/>
      </c>
      <c r="U14" s="321"/>
      <c r="V14" s="295" t="str">
        <f>IF(AND('Mapa final'!$H$10="Alta",'Mapa final'!$L$10="Moderado"),CONCATENATE("R",'Mapa final'!$A$10),"")</f>
        <v/>
      </c>
      <c r="W14" s="296"/>
      <c r="X14" s="296" t="str">
        <f>IF(AND('Mapa final'!$H$16="Alta",'Mapa final'!$L$16="Moderado"),CONCATENATE("R",'Mapa final'!$A$16),"")</f>
        <v/>
      </c>
      <c r="Y14" s="296"/>
      <c r="Z14" s="296" t="str">
        <f>IF(AND('Mapa final'!$H$22="Alta",'Mapa final'!$L$22="Moderado"),CONCATENATE("R",'Mapa final'!$A$22),"")</f>
        <v/>
      </c>
      <c r="AA14" s="298"/>
      <c r="AB14" s="295" t="str">
        <f>IF(AND('Mapa final'!$H$10="Alta",'Mapa final'!$L$10="Mayor"),CONCATENATE("R",'Mapa final'!$A$10),"")</f>
        <v/>
      </c>
      <c r="AC14" s="296"/>
      <c r="AD14" s="296" t="str">
        <f>IF(AND('Mapa final'!$H$16="Alta",'Mapa final'!$L$16="Mayor"),CONCATENATE("R",'Mapa final'!$A$16),"")</f>
        <v/>
      </c>
      <c r="AE14" s="296"/>
      <c r="AF14" s="296" t="str">
        <f>IF(AND('Mapa final'!$H$22="Alta",'Mapa final'!$L$22="Mayor"),CONCATENATE("R",'Mapa final'!$A$22),"")</f>
        <v/>
      </c>
      <c r="AG14" s="298"/>
      <c r="AH14" s="310" t="str">
        <f>IF(AND('Mapa final'!$H$10="Alta",'Mapa final'!$L$10="Catastrófico"),CONCATENATE("R",'Mapa final'!$A$10),"")</f>
        <v/>
      </c>
      <c r="AI14" s="311"/>
      <c r="AJ14" s="311" t="str">
        <f>IF(AND('Mapa final'!$H$16="Alta",'Mapa final'!$L$16="Catastrófico"),CONCATENATE("R",'Mapa final'!$A$16),"")</f>
        <v/>
      </c>
      <c r="AK14" s="311"/>
      <c r="AL14" s="311" t="str">
        <f>IF(AND('Mapa final'!$H$22="Alta",'Mapa final'!$L$22="Catastrófico"),CONCATENATE("R",'Mapa final'!$A$22),"")</f>
        <v/>
      </c>
      <c r="AM14" s="312"/>
      <c r="AN14" s="97"/>
      <c r="AO14" s="257" t="s">
        <v>80</v>
      </c>
      <c r="AP14" s="258"/>
      <c r="AQ14" s="258"/>
      <c r="AR14" s="258"/>
      <c r="AS14" s="258"/>
      <c r="AT14" s="259"/>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row>
    <row r="15" spans="1:99" ht="15" customHeight="1" x14ac:dyDescent="0.25">
      <c r="A15" s="97"/>
      <c r="B15" s="246"/>
      <c r="C15" s="246"/>
      <c r="D15" s="247"/>
      <c r="E15" s="287"/>
      <c r="F15" s="288"/>
      <c r="G15" s="288"/>
      <c r="H15" s="288"/>
      <c r="I15" s="288"/>
      <c r="J15" s="313"/>
      <c r="K15" s="314"/>
      <c r="L15" s="314"/>
      <c r="M15" s="314"/>
      <c r="N15" s="314"/>
      <c r="O15" s="315"/>
      <c r="P15" s="313"/>
      <c r="Q15" s="314"/>
      <c r="R15" s="314"/>
      <c r="S15" s="314"/>
      <c r="T15" s="314"/>
      <c r="U15" s="315"/>
      <c r="V15" s="297"/>
      <c r="W15" s="293"/>
      <c r="X15" s="293"/>
      <c r="Y15" s="293"/>
      <c r="Z15" s="293"/>
      <c r="AA15" s="294"/>
      <c r="AB15" s="297"/>
      <c r="AC15" s="293"/>
      <c r="AD15" s="293"/>
      <c r="AE15" s="293"/>
      <c r="AF15" s="293"/>
      <c r="AG15" s="294"/>
      <c r="AH15" s="304"/>
      <c r="AI15" s="305"/>
      <c r="AJ15" s="305"/>
      <c r="AK15" s="305"/>
      <c r="AL15" s="305"/>
      <c r="AM15" s="306"/>
      <c r="AN15" s="97"/>
      <c r="AO15" s="260"/>
      <c r="AP15" s="261"/>
      <c r="AQ15" s="261"/>
      <c r="AR15" s="261"/>
      <c r="AS15" s="261"/>
      <c r="AT15" s="262"/>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row>
    <row r="16" spans="1:99" ht="15" customHeight="1" x14ac:dyDescent="0.25">
      <c r="A16" s="97"/>
      <c r="B16" s="246"/>
      <c r="C16" s="246"/>
      <c r="D16" s="247"/>
      <c r="E16" s="287"/>
      <c r="F16" s="288"/>
      <c r="G16" s="288"/>
      <c r="H16" s="288"/>
      <c r="I16" s="288"/>
      <c r="J16" s="313" t="str">
        <f>IF(AND('Mapa final'!$H$28="Alta",'Mapa final'!$L$28="Leve"),CONCATENATE("R",'Mapa final'!$A$28),"")</f>
        <v/>
      </c>
      <c r="K16" s="314"/>
      <c r="L16" s="314" t="str">
        <f>IF(AND('Mapa final'!$H$34="Alta",'Mapa final'!$L$34="Leve"),CONCATENATE("R",'Mapa final'!$A$34),"")</f>
        <v/>
      </c>
      <c r="M16" s="314"/>
      <c r="N16" s="314" t="str">
        <f>IF(AND('Mapa final'!$H$40="Alta",'Mapa final'!$L$40="Leve"),CONCATENATE("R",'Mapa final'!$A$40),"")</f>
        <v/>
      </c>
      <c r="O16" s="315"/>
      <c r="P16" s="313" t="str">
        <f>IF(AND('Mapa final'!$H$28="Alta",'Mapa final'!$L$28="Menor"),CONCATENATE("R",'Mapa final'!$A$28),"")</f>
        <v/>
      </c>
      <c r="Q16" s="314"/>
      <c r="R16" s="314" t="str">
        <f>IF(AND('Mapa final'!$H$34="Alta",'Mapa final'!$L$34="Menor"),CONCATENATE("R",'Mapa final'!$A$34),"")</f>
        <v/>
      </c>
      <c r="S16" s="314"/>
      <c r="T16" s="314" t="str">
        <f>IF(AND('Mapa final'!$H$40="Alta",'Mapa final'!$L$40="Menor"),CONCATENATE("R",'Mapa final'!$A$40),"")</f>
        <v/>
      </c>
      <c r="U16" s="315"/>
      <c r="V16" s="297" t="str">
        <f>IF(AND('Mapa final'!$H$28="Alta",'Mapa final'!$L$28="Moderado"),CONCATENATE("R",'Mapa final'!$A$28),"")</f>
        <v/>
      </c>
      <c r="W16" s="293"/>
      <c r="X16" s="293" t="str">
        <f>IF(AND('Mapa final'!$H$34="Alta",'Mapa final'!$L$34="Moderado"),CONCATENATE("R",'Mapa final'!$A$34),"")</f>
        <v/>
      </c>
      <c r="Y16" s="293"/>
      <c r="Z16" s="293" t="str">
        <f>IF(AND('Mapa final'!$H$40="Alta",'Mapa final'!$L$40="Moderado"),CONCATENATE("R",'Mapa final'!$A$40),"")</f>
        <v/>
      </c>
      <c r="AA16" s="294"/>
      <c r="AB16" s="297" t="str">
        <f>IF(AND('Mapa final'!$H$28="Alta",'Mapa final'!$L$28="Mayor"),CONCATENATE("R",'Mapa final'!$A$28),"")</f>
        <v/>
      </c>
      <c r="AC16" s="293"/>
      <c r="AD16" s="293" t="str">
        <f>IF(AND('Mapa final'!$H$34="Alta",'Mapa final'!$L$34="Mayor"),CONCATENATE("R",'Mapa final'!$A$34),"")</f>
        <v/>
      </c>
      <c r="AE16" s="293"/>
      <c r="AF16" s="293" t="str">
        <f>IF(AND('Mapa final'!$H$40="Alta",'Mapa final'!$L$40="Mayor"),CONCATENATE("R",'Mapa final'!$A$40),"")</f>
        <v/>
      </c>
      <c r="AG16" s="294"/>
      <c r="AH16" s="304" t="str">
        <f>IF(AND('Mapa final'!$H$28="Alta",'Mapa final'!$L$28="Catastrófico"),CONCATENATE("R",'Mapa final'!$A$28),"")</f>
        <v/>
      </c>
      <c r="AI16" s="305"/>
      <c r="AJ16" s="305" t="str">
        <f>IF(AND('Mapa final'!$H$34="Alta",'Mapa final'!$L$34="Catastrófico"),CONCATENATE("R",'Mapa final'!$A$34),"")</f>
        <v/>
      </c>
      <c r="AK16" s="305"/>
      <c r="AL16" s="305" t="str">
        <f>IF(AND('Mapa final'!$H$40="Alta",'Mapa final'!$L$40="Catastrófico"),CONCATENATE("R",'Mapa final'!$A$40),"")</f>
        <v/>
      </c>
      <c r="AM16" s="306"/>
      <c r="AN16" s="97"/>
      <c r="AO16" s="260"/>
      <c r="AP16" s="261"/>
      <c r="AQ16" s="261"/>
      <c r="AR16" s="261"/>
      <c r="AS16" s="261"/>
      <c r="AT16" s="262"/>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row>
    <row r="17" spans="1:80" ht="15" customHeight="1" x14ac:dyDescent="0.25">
      <c r="A17" s="97"/>
      <c r="B17" s="246"/>
      <c r="C17" s="246"/>
      <c r="D17" s="247"/>
      <c r="E17" s="287"/>
      <c r="F17" s="288"/>
      <c r="G17" s="288"/>
      <c r="H17" s="288"/>
      <c r="I17" s="288"/>
      <c r="J17" s="313"/>
      <c r="K17" s="314"/>
      <c r="L17" s="314"/>
      <c r="M17" s="314"/>
      <c r="N17" s="314"/>
      <c r="O17" s="315"/>
      <c r="P17" s="313"/>
      <c r="Q17" s="314"/>
      <c r="R17" s="314"/>
      <c r="S17" s="314"/>
      <c r="T17" s="314"/>
      <c r="U17" s="315"/>
      <c r="V17" s="297"/>
      <c r="W17" s="293"/>
      <c r="X17" s="293"/>
      <c r="Y17" s="293"/>
      <c r="Z17" s="293"/>
      <c r="AA17" s="294"/>
      <c r="AB17" s="297"/>
      <c r="AC17" s="293"/>
      <c r="AD17" s="293"/>
      <c r="AE17" s="293"/>
      <c r="AF17" s="293"/>
      <c r="AG17" s="294"/>
      <c r="AH17" s="304"/>
      <c r="AI17" s="305"/>
      <c r="AJ17" s="305"/>
      <c r="AK17" s="305"/>
      <c r="AL17" s="305"/>
      <c r="AM17" s="306"/>
      <c r="AN17" s="97"/>
      <c r="AO17" s="260"/>
      <c r="AP17" s="261"/>
      <c r="AQ17" s="261"/>
      <c r="AR17" s="261"/>
      <c r="AS17" s="261"/>
      <c r="AT17" s="262"/>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row>
    <row r="18" spans="1:80" ht="15" customHeight="1" x14ac:dyDescent="0.25">
      <c r="A18" s="97"/>
      <c r="B18" s="246"/>
      <c r="C18" s="246"/>
      <c r="D18" s="247"/>
      <c r="E18" s="287"/>
      <c r="F18" s="288"/>
      <c r="G18" s="288"/>
      <c r="H18" s="288"/>
      <c r="I18" s="288"/>
      <c r="J18" s="313" t="str">
        <f>IF(AND('Mapa final'!$H$46="Alta",'Mapa final'!$L$46="Leve"),CONCATENATE("R",'Mapa final'!$A$46),"")</f>
        <v/>
      </c>
      <c r="K18" s="314"/>
      <c r="L18" s="314" t="str">
        <f>IF(AND('Mapa final'!$H$52="Alta",'Mapa final'!$L$52="Leve"),CONCATENATE("R",'Mapa final'!$A$52),"")</f>
        <v/>
      </c>
      <c r="M18" s="314"/>
      <c r="N18" s="314" t="str">
        <f>IF(AND('Mapa final'!$H$58="Alta",'Mapa final'!$L$58="Leve"),CONCATENATE("R",'Mapa final'!$A$58),"")</f>
        <v/>
      </c>
      <c r="O18" s="315"/>
      <c r="P18" s="313" t="str">
        <f>IF(AND('Mapa final'!$H$46="Alta",'Mapa final'!$L$46="Menor"),CONCATENATE("R",'Mapa final'!$A$46),"")</f>
        <v/>
      </c>
      <c r="Q18" s="314"/>
      <c r="R18" s="314" t="str">
        <f>IF(AND('Mapa final'!$H$52="Alta",'Mapa final'!$L$52="Menor"),CONCATENATE("R",'Mapa final'!$A$52),"")</f>
        <v/>
      </c>
      <c r="S18" s="314"/>
      <c r="T18" s="314" t="str">
        <f>IF(AND('Mapa final'!$H$58="Alta",'Mapa final'!$L$58="Menor"),CONCATENATE("R",'Mapa final'!$A$58),"")</f>
        <v/>
      </c>
      <c r="U18" s="315"/>
      <c r="V18" s="297" t="str">
        <f>IF(AND('Mapa final'!$H$46="Alta",'Mapa final'!$L$46="Moderado"),CONCATENATE("R",'Mapa final'!$A$46),"")</f>
        <v/>
      </c>
      <c r="W18" s="293"/>
      <c r="X18" s="293" t="str">
        <f>IF(AND('Mapa final'!$H$52="Alta",'Mapa final'!$L$52="Moderado"),CONCATENATE("R",'Mapa final'!$A$52),"")</f>
        <v/>
      </c>
      <c r="Y18" s="293"/>
      <c r="Z18" s="293" t="str">
        <f>IF(AND('Mapa final'!$H$58="Alta",'Mapa final'!$L$58="Moderado"),CONCATENATE("R",'Mapa final'!$A$58),"")</f>
        <v/>
      </c>
      <c r="AA18" s="294"/>
      <c r="AB18" s="297" t="str">
        <f>IF(AND('Mapa final'!$H$46="Alta",'Mapa final'!$L$46="Mayor"),CONCATENATE("R",'Mapa final'!$A$46),"")</f>
        <v/>
      </c>
      <c r="AC18" s="293"/>
      <c r="AD18" s="293" t="str">
        <f>IF(AND('Mapa final'!$H$52="Alta",'Mapa final'!$L$52="Mayor"),CONCATENATE("R",'Mapa final'!$A$52),"")</f>
        <v/>
      </c>
      <c r="AE18" s="293"/>
      <c r="AF18" s="293" t="str">
        <f>IF(AND('Mapa final'!$H$58="Alta",'Mapa final'!$L$58="Mayor"),CONCATENATE("R",'Mapa final'!$A$58),"")</f>
        <v/>
      </c>
      <c r="AG18" s="294"/>
      <c r="AH18" s="304" t="str">
        <f>IF(AND('Mapa final'!$H$46="Alta",'Mapa final'!$L$46="Catastrófico"),CONCATENATE("R",'Mapa final'!$A$46),"")</f>
        <v/>
      </c>
      <c r="AI18" s="305"/>
      <c r="AJ18" s="305" t="str">
        <f>IF(AND('Mapa final'!$H$52="Alta",'Mapa final'!$L$52="Catastrófico"),CONCATENATE("R",'Mapa final'!$A$52),"")</f>
        <v/>
      </c>
      <c r="AK18" s="305"/>
      <c r="AL18" s="305" t="str">
        <f>IF(AND('Mapa final'!$H$58="Alta",'Mapa final'!$L$58="Catastrófico"),CONCATENATE("R",'Mapa final'!$A$58),"")</f>
        <v/>
      </c>
      <c r="AM18" s="306"/>
      <c r="AN18" s="97"/>
      <c r="AO18" s="260"/>
      <c r="AP18" s="261"/>
      <c r="AQ18" s="261"/>
      <c r="AR18" s="261"/>
      <c r="AS18" s="261"/>
      <c r="AT18" s="262"/>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row>
    <row r="19" spans="1:80" ht="15" customHeight="1" x14ac:dyDescent="0.25">
      <c r="A19" s="97"/>
      <c r="B19" s="246"/>
      <c r="C19" s="246"/>
      <c r="D19" s="247"/>
      <c r="E19" s="287"/>
      <c r="F19" s="288"/>
      <c r="G19" s="288"/>
      <c r="H19" s="288"/>
      <c r="I19" s="288"/>
      <c r="J19" s="313"/>
      <c r="K19" s="314"/>
      <c r="L19" s="314"/>
      <c r="M19" s="314"/>
      <c r="N19" s="314"/>
      <c r="O19" s="315"/>
      <c r="P19" s="313"/>
      <c r="Q19" s="314"/>
      <c r="R19" s="314"/>
      <c r="S19" s="314"/>
      <c r="T19" s="314"/>
      <c r="U19" s="315"/>
      <c r="V19" s="297"/>
      <c r="W19" s="293"/>
      <c r="X19" s="293"/>
      <c r="Y19" s="293"/>
      <c r="Z19" s="293"/>
      <c r="AA19" s="294"/>
      <c r="AB19" s="297"/>
      <c r="AC19" s="293"/>
      <c r="AD19" s="293"/>
      <c r="AE19" s="293"/>
      <c r="AF19" s="293"/>
      <c r="AG19" s="294"/>
      <c r="AH19" s="304"/>
      <c r="AI19" s="305"/>
      <c r="AJ19" s="305"/>
      <c r="AK19" s="305"/>
      <c r="AL19" s="305"/>
      <c r="AM19" s="306"/>
      <c r="AN19" s="97"/>
      <c r="AO19" s="260"/>
      <c r="AP19" s="261"/>
      <c r="AQ19" s="261"/>
      <c r="AR19" s="261"/>
      <c r="AS19" s="261"/>
      <c r="AT19" s="262"/>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row>
    <row r="20" spans="1:80" ht="15" customHeight="1" x14ac:dyDescent="0.25">
      <c r="A20" s="97"/>
      <c r="B20" s="246"/>
      <c r="C20" s="246"/>
      <c r="D20" s="247"/>
      <c r="E20" s="287"/>
      <c r="F20" s="288"/>
      <c r="G20" s="288"/>
      <c r="H20" s="288"/>
      <c r="I20" s="288"/>
      <c r="J20" s="313" t="str">
        <f>IF(AND('Mapa final'!$H$64="Alta",'Mapa final'!$L$64="Leve"),CONCATENATE("R",'Mapa final'!$A$64),"")</f>
        <v/>
      </c>
      <c r="K20" s="314"/>
      <c r="L20" s="314" t="str">
        <f>IF(AND('Mapa final'!$H$70="Alta",'Mapa final'!$L$70="Leve"),CONCATENATE("R",'Mapa final'!$A$70),"")</f>
        <v/>
      </c>
      <c r="M20" s="314"/>
      <c r="N20" s="314" t="str">
        <f>IF(AND('Mapa final'!$H$76="Alta",'Mapa final'!$L$76="Leve"),CONCATENATE("R",'Mapa final'!$A$76),"")</f>
        <v/>
      </c>
      <c r="O20" s="315"/>
      <c r="P20" s="313" t="str">
        <f>IF(AND('Mapa final'!$H$64="Alta",'Mapa final'!$L$64="Menor"),CONCATENATE("R",'Mapa final'!$A$64),"")</f>
        <v/>
      </c>
      <c r="Q20" s="314"/>
      <c r="R20" s="314" t="str">
        <f>IF(AND('Mapa final'!$H$70="Alta",'Mapa final'!$L$70="Menor"),CONCATENATE("R",'Mapa final'!$A$70),"")</f>
        <v/>
      </c>
      <c r="S20" s="314"/>
      <c r="T20" s="314" t="str">
        <f>IF(AND('Mapa final'!$H$76="Alta",'Mapa final'!$L$76="Menor"),CONCATENATE("R",'Mapa final'!$A$76),"")</f>
        <v/>
      </c>
      <c r="U20" s="315"/>
      <c r="V20" s="297" t="str">
        <f>IF(AND('Mapa final'!$H$64="Alta",'Mapa final'!$L$64="Moderado"),CONCATENATE("R",'Mapa final'!$A$64),"")</f>
        <v/>
      </c>
      <c r="W20" s="293"/>
      <c r="X20" s="293" t="str">
        <f>IF(AND('Mapa final'!$H$70="Alta",'Mapa final'!$L$70="Moderado"),CONCATENATE("R",'Mapa final'!$A$70),"")</f>
        <v/>
      </c>
      <c r="Y20" s="293"/>
      <c r="Z20" s="293" t="str">
        <f>IF(AND('Mapa final'!$H$76="Alta",'Mapa final'!$L$76="Moderado"),CONCATENATE("R",'Mapa final'!$A$76),"")</f>
        <v/>
      </c>
      <c r="AA20" s="294"/>
      <c r="AB20" s="297" t="str">
        <f>IF(AND('Mapa final'!$H$64="Alta",'Mapa final'!$L$64="Mayor"),CONCATENATE("R",'Mapa final'!$A$64),"")</f>
        <v/>
      </c>
      <c r="AC20" s="293"/>
      <c r="AD20" s="293" t="str">
        <f>IF(AND('Mapa final'!$H$70="Alta",'Mapa final'!$L$70="Mayor"),CONCATENATE("R",'Mapa final'!$A$70),"")</f>
        <v/>
      </c>
      <c r="AE20" s="293"/>
      <c r="AF20" s="293" t="str">
        <f>IF(AND('Mapa final'!$H$76="Alta",'Mapa final'!$L$76="Mayor"),CONCATENATE("R",'Mapa final'!$A$76),"")</f>
        <v/>
      </c>
      <c r="AG20" s="294"/>
      <c r="AH20" s="304" t="str">
        <f>IF(AND('Mapa final'!$H$64="Alta",'Mapa final'!$L$64="Catastrófico"),CONCATENATE("R",'Mapa final'!$A$64),"")</f>
        <v/>
      </c>
      <c r="AI20" s="305"/>
      <c r="AJ20" s="305" t="str">
        <f>IF(AND('Mapa final'!$H$70="Alta",'Mapa final'!$L$70="Catastrófico"),CONCATENATE("R",'Mapa final'!$A$70),"")</f>
        <v/>
      </c>
      <c r="AK20" s="305"/>
      <c r="AL20" s="305" t="str">
        <f>IF(AND('Mapa final'!$H$76="Alta",'Mapa final'!$L$76="Catastrófico"),CONCATENATE("R",'Mapa final'!$A$76),"")</f>
        <v/>
      </c>
      <c r="AM20" s="306"/>
      <c r="AN20" s="97"/>
      <c r="AO20" s="260"/>
      <c r="AP20" s="261"/>
      <c r="AQ20" s="261"/>
      <c r="AR20" s="261"/>
      <c r="AS20" s="261"/>
      <c r="AT20" s="262"/>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row>
    <row r="21" spans="1:80" ht="15.75" customHeight="1" thickBot="1" x14ac:dyDescent="0.3">
      <c r="A21" s="97"/>
      <c r="B21" s="246"/>
      <c r="C21" s="246"/>
      <c r="D21" s="247"/>
      <c r="E21" s="290"/>
      <c r="F21" s="291"/>
      <c r="G21" s="291"/>
      <c r="H21" s="291"/>
      <c r="I21" s="291"/>
      <c r="J21" s="316"/>
      <c r="K21" s="317"/>
      <c r="L21" s="317"/>
      <c r="M21" s="317"/>
      <c r="N21" s="317"/>
      <c r="O21" s="318"/>
      <c r="P21" s="316"/>
      <c r="Q21" s="317"/>
      <c r="R21" s="317"/>
      <c r="S21" s="317"/>
      <c r="T21" s="317"/>
      <c r="U21" s="318"/>
      <c r="V21" s="301"/>
      <c r="W21" s="302"/>
      <c r="X21" s="302"/>
      <c r="Y21" s="302"/>
      <c r="Z21" s="302"/>
      <c r="AA21" s="303"/>
      <c r="AB21" s="301"/>
      <c r="AC21" s="302"/>
      <c r="AD21" s="302"/>
      <c r="AE21" s="302"/>
      <c r="AF21" s="302"/>
      <c r="AG21" s="303"/>
      <c r="AH21" s="307"/>
      <c r="AI21" s="308"/>
      <c r="AJ21" s="308"/>
      <c r="AK21" s="308"/>
      <c r="AL21" s="308"/>
      <c r="AM21" s="309"/>
      <c r="AN21" s="97"/>
      <c r="AO21" s="263"/>
      <c r="AP21" s="264"/>
      <c r="AQ21" s="264"/>
      <c r="AR21" s="264"/>
      <c r="AS21" s="264"/>
      <c r="AT21" s="265"/>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row>
    <row r="22" spans="1:80" x14ac:dyDescent="0.25">
      <c r="A22" s="97"/>
      <c r="B22" s="246"/>
      <c r="C22" s="246"/>
      <c r="D22" s="247"/>
      <c r="E22" s="284" t="s">
        <v>117</v>
      </c>
      <c r="F22" s="285"/>
      <c r="G22" s="285"/>
      <c r="H22" s="285"/>
      <c r="I22" s="286"/>
      <c r="J22" s="319" t="str">
        <f>IF(AND('Mapa final'!$H$10="Media",'Mapa final'!$L$10="Leve"),CONCATENATE("R",'Mapa final'!$A$10),"")</f>
        <v/>
      </c>
      <c r="K22" s="320"/>
      <c r="L22" s="320" t="str">
        <f>IF(AND('Mapa final'!$H$16="Media",'Mapa final'!$L$16="Leve"),CONCATENATE("R",'Mapa final'!$A$16),"")</f>
        <v/>
      </c>
      <c r="M22" s="320"/>
      <c r="N22" s="320" t="str">
        <f>IF(AND('Mapa final'!$H$22="Media",'Mapa final'!$L$22="Leve"),CONCATENATE("R",'Mapa final'!$A$22),"")</f>
        <v/>
      </c>
      <c r="O22" s="321"/>
      <c r="P22" s="319" t="str">
        <f>IF(AND('Mapa final'!$H$10="Media",'Mapa final'!$L$10="Menor"),CONCATENATE("R",'Mapa final'!$A$10),"")</f>
        <v/>
      </c>
      <c r="Q22" s="320"/>
      <c r="R22" s="320" t="str">
        <f>IF(AND('Mapa final'!$H$16="Media",'Mapa final'!$L$16="Menor"),CONCATENATE("R",'Mapa final'!$A$16),"")</f>
        <v/>
      </c>
      <c r="S22" s="320"/>
      <c r="T22" s="320" t="str">
        <f>IF(AND('Mapa final'!$H$22="Media",'Mapa final'!$L$22="Menor"),CONCATENATE("R",'Mapa final'!$A$22),"")</f>
        <v/>
      </c>
      <c r="U22" s="321"/>
      <c r="V22" s="319" t="str">
        <f>IF(AND('Mapa final'!$H$10="Media",'Mapa final'!$L$10="Moderado"),CONCATENATE("R",'Mapa final'!$A$10),"")</f>
        <v/>
      </c>
      <c r="W22" s="320"/>
      <c r="X22" s="320" t="str">
        <f>IF(AND('Mapa final'!$H$16="Media",'Mapa final'!$L$16="Moderado"),CONCATENATE("R",'Mapa final'!$A$16),"")</f>
        <v/>
      </c>
      <c r="Y22" s="320"/>
      <c r="Z22" s="320" t="str">
        <f>IF(AND('Mapa final'!$H$22="Media",'Mapa final'!$L$22="Moderado"),CONCATENATE("R",'Mapa final'!$A$22),"")</f>
        <v/>
      </c>
      <c r="AA22" s="321"/>
      <c r="AB22" s="295" t="str">
        <f>IF(AND('Mapa final'!$H$10="Media",'Mapa final'!$L$10="Mayor"),CONCATENATE("R",'Mapa final'!$A$10),"")</f>
        <v/>
      </c>
      <c r="AC22" s="296"/>
      <c r="AD22" s="296" t="str">
        <f>IF(AND('Mapa final'!$H$16="Media",'Mapa final'!$L$16="Mayor"),CONCATENATE("R",'Mapa final'!$A$16),"")</f>
        <v/>
      </c>
      <c r="AE22" s="296"/>
      <c r="AF22" s="296" t="str">
        <f>IF(AND('Mapa final'!$H$22="Media",'Mapa final'!$L$22="Mayor"),CONCATENATE("R",'Mapa final'!$A$22),"")</f>
        <v/>
      </c>
      <c r="AG22" s="298"/>
      <c r="AH22" s="310" t="str">
        <f>IF(AND('Mapa final'!$H$10="Media",'Mapa final'!$L$10="Catastrófico"),CONCATENATE("R",'Mapa final'!$A$10),"")</f>
        <v/>
      </c>
      <c r="AI22" s="311"/>
      <c r="AJ22" s="311" t="str">
        <f>IF(AND('Mapa final'!$H$16="Media",'Mapa final'!$L$16="Catastrófico"),CONCATENATE("R",'Mapa final'!$A$16),"")</f>
        <v/>
      </c>
      <c r="AK22" s="311"/>
      <c r="AL22" s="311" t="str">
        <f>IF(AND('Mapa final'!$H$22="Media",'Mapa final'!$L$22="Catastrófico"),CONCATENATE("R",'Mapa final'!$A$22),"")</f>
        <v/>
      </c>
      <c r="AM22" s="312"/>
      <c r="AN22" s="97"/>
      <c r="AO22" s="266" t="s">
        <v>81</v>
      </c>
      <c r="AP22" s="267"/>
      <c r="AQ22" s="267"/>
      <c r="AR22" s="267"/>
      <c r="AS22" s="267"/>
      <c r="AT22" s="268"/>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row>
    <row r="23" spans="1:80" x14ac:dyDescent="0.25">
      <c r="A23" s="97"/>
      <c r="B23" s="246"/>
      <c r="C23" s="246"/>
      <c r="D23" s="247"/>
      <c r="E23" s="287"/>
      <c r="F23" s="288"/>
      <c r="G23" s="288"/>
      <c r="H23" s="288"/>
      <c r="I23" s="289"/>
      <c r="J23" s="313"/>
      <c r="K23" s="314"/>
      <c r="L23" s="314"/>
      <c r="M23" s="314"/>
      <c r="N23" s="314"/>
      <c r="O23" s="315"/>
      <c r="P23" s="313"/>
      <c r="Q23" s="314"/>
      <c r="R23" s="314"/>
      <c r="S23" s="314"/>
      <c r="T23" s="314"/>
      <c r="U23" s="315"/>
      <c r="V23" s="313"/>
      <c r="W23" s="314"/>
      <c r="X23" s="314"/>
      <c r="Y23" s="314"/>
      <c r="Z23" s="314"/>
      <c r="AA23" s="315"/>
      <c r="AB23" s="297"/>
      <c r="AC23" s="293"/>
      <c r="AD23" s="293"/>
      <c r="AE23" s="293"/>
      <c r="AF23" s="293"/>
      <c r="AG23" s="294"/>
      <c r="AH23" s="304"/>
      <c r="AI23" s="305"/>
      <c r="AJ23" s="305"/>
      <c r="AK23" s="305"/>
      <c r="AL23" s="305"/>
      <c r="AM23" s="306"/>
      <c r="AN23" s="97"/>
      <c r="AO23" s="269"/>
      <c r="AP23" s="270"/>
      <c r="AQ23" s="270"/>
      <c r="AR23" s="270"/>
      <c r="AS23" s="270"/>
      <c r="AT23" s="271"/>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row>
    <row r="24" spans="1:80" x14ac:dyDescent="0.25">
      <c r="A24" s="97"/>
      <c r="B24" s="246"/>
      <c r="C24" s="246"/>
      <c r="D24" s="247"/>
      <c r="E24" s="287"/>
      <c r="F24" s="288"/>
      <c r="G24" s="288"/>
      <c r="H24" s="288"/>
      <c r="I24" s="289"/>
      <c r="J24" s="313" t="str">
        <f>IF(AND('Mapa final'!$H$28="Media",'Mapa final'!$L$28="Leve"),CONCATENATE("R",'Mapa final'!$A$28),"")</f>
        <v/>
      </c>
      <c r="K24" s="314"/>
      <c r="L24" s="314" t="str">
        <f>IF(AND('Mapa final'!$H$34="Media",'Mapa final'!$L$34="Leve"),CONCATENATE("R",'Mapa final'!$A$34),"")</f>
        <v/>
      </c>
      <c r="M24" s="314"/>
      <c r="N24" s="314" t="str">
        <f>IF(AND('Mapa final'!$H$40="Media",'Mapa final'!$L$40="Leve"),CONCATENATE("R",'Mapa final'!$A$40),"")</f>
        <v/>
      </c>
      <c r="O24" s="315"/>
      <c r="P24" s="313" t="str">
        <f>IF(AND('Mapa final'!$H$28="Media",'Mapa final'!$L$28="Menor"),CONCATENATE("R",'Mapa final'!$A$28),"")</f>
        <v/>
      </c>
      <c r="Q24" s="314"/>
      <c r="R24" s="314" t="str">
        <f>IF(AND('Mapa final'!$H$34="Media",'Mapa final'!$L$34="Menor"),CONCATENATE("R",'Mapa final'!$A$34),"")</f>
        <v/>
      </c>
      <c r="S24" s="314"/>
      <c r="T24" s="314" t="str">
        <f>IF(AND('Mapa final'!$H$40="Media",'Mapa final'!$L$40="Menor"),CONCATENATE("R",'Mapa final'!$A$40),"")</f>
        <v/>
      </c>
      <c r="U24" s="315"/>
      <c r="V24" s="313" t="str">
        <f>IF(AND('Mapa final'!$H$28="Media",'Mapa final'!$L$28="Moderado"),CONCATENATE("R",'Mapa final'!$A$28),"")</f>
        <v/>
      </c>
      <c r="W24" s="314"/>
      <c r="X24" s="314" t="str">
        <f>IF(AND('Mapa final'!$H$34="Media",'Mapa final'!$L$34="Moderado"),CONCATENATE("R",'Mapa final'!$A$34),"")</f>
        <v/>
      </c>
      <c r="Y24" s="314"/>
      <c r="Z24" s="314" t="str">
        <f>IF(AND('Mapa final'!$H$40="Media",'Mapa final'!$L$40="Moderado"),CONCATENATE("R",'Mapa final'!$A$40),"")</f>
        <v/>
      </c>
      <c r="AA24" s="315"/>
      <c r="AB24" s="297" t="str">
        <f>IF(AND('Mapa final'!$H$28="Media",'Mapa final'!$L$28="Mayor"),CONCATENATE("R",'Mapa final'!$A$28),"")</f>
        <v/>
      </c>
      <c r="AC24" s="293"/>
      <c r="AD24" s="293" t="str">
        <f>IF(AND('Mapa final'!$H$34="Media",'Mapa final'!$L$34="Mayor"),CONCATENATE("R",'Mapa final'!$A$34),"")</f>
        <v/>
      </c>
      <c r="AE24" s="293"/>
      <c r="AF24" s="293" t="str">
        <f>IF(AND('Mapa final'!$H$40="Media",'Mapa final'!$L$40="Mayor"),CONCATENATE("R",'Mapa final'!$A$40),"")</f>
        <v/>
      </c>
      <c r="AG24" s="294"/>
      <c r="AH24" s="304" t="str">
        <f>IF(AND('Mapa final'!$H$28="Media",'Mapa final'!$L$28="Catastrófico"),CONCATENATE("R",'Mapa final'!$A$28),"")</f>
        <v/>
      </c>
      <c r="AI24" s="305"/>
      <c r="AJ24" s="305" t="str">
        <f>IF(AND('Mapa final'!$H$34="Media",'Mapa final'!$L$34="Catastrófico"),CONCATENATE("R",'Mapa final'!$A$34),"")</f>
        <v/>
      </c>
      <c r="AK24" s="305"/>
      <c r="AL24" s="305" t="str">
        <f>IF(AND('Mapa final'!$H$40="Media",'Mapa final'!$L$40="Catastrófico"),CONCATENATE("R",'Mapa final'!$A$40),"")</f>
        <v/>
      </c>
      <c r="AM24" s="306"/>
      <c r="AN24" s="97"/>
      <c r="AO24" s="269"/>
      <c r="AP24" s="270"/>
      <c r="AQ24" s="270"/>
      <c r="AR24" s="270"/>
      <c r="AS24" s="270"/>
      <c r="AT24" s="271"/>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row>
    <row r="25" spans="1:80" x14ac:dyDescent="0.25">
      <c r="A25" s="97"/>
      <c r="B25" s="246"/>
      <c r="C25" s="246"/>
      <c r="D25" s="247"/>
      <c r="E25" s="287"/>
      <c r="F25" s="288"/>
      <c r="G25" s="288"/>
      <c r="H25" s="288"/>
      <c r="I25" s="289"/>
      <c r="J25" s="313"/>
      <c r="K25" s="314"/>
      <c r="L25" s="314"/>
      <c r="M25" s="314"/>
      <c r="N25" s="314"/>
      <c r="O25" s="315"/>
      <c r="P25" s="313"/>
      <c r="Q25" s="314"/>
      <c r="R25" s="314"/>
      <c r="S25" s="314"/>
      <c r="T25" s="314"/>
      <c r="U25" s="315"/>
      <c r="V25" s="313"/>
      <c r="W25" s="314"/>
      <c r="X25" s="314"/>
      <c r="Y25" s="314"/>
      <c r="Z25" s="314"/>
      <c r="AA25" s="315"/>
      <c r="AB25" s="297"/>
      <c r="AC25" s="293"/>
      <c r="AD25" s="293"/>
      <c r="AE25" s="293"/>
      <c r="AF25" s="293"/>
      <c r="AG25" s="294"/>
      <c r="AH25" s="304"/>
      <c r="AI25" s="305"/>
      <c r="AJ25" s="305"/>
      <c r="AK25" s="305"/>
      <c r="AL25" s="305"/>
      <c r="AM25" s="306"/>
      <c r="AN25" s="97"/>
      <c r="AO25" s="269"/>
      <c r="AP25" s="270"/>
      <c r="AQ25" s="270"/>
      <c r="AR25" s="270"/>
      <c r="AS25" s="270"/>
      <c r="AT25" s="271"/>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row>
    <row r="26" spans="1:80" x14ac:dyDescent="0.25">
      <c r="A26" s="97"/>
      <c r="B26" s="246"/>
      <c r="C26" s="246"/>
      <c r="D26" s="247"/>
      <c r="E26" s="287"/>
      <c r="F26" s="288"/>
      <c r="G26" s="288"/>
      <c r="H26" s="288"/>
      <c r="I26" s="289"/>
      <c r="J26" s="313" t="str">
        <f>IF(AND('Mapa final'!$H$46="Media",'Mapa final'!$L$46="Leve"),CONCATENATE("R",'Mapa final'!$A$46),"")</f>
        <v/>
      </c>
      <c r="K26" s="314"/>
      <c r="L26" s="314" t="str">
        <f>IF(AND('Mapa final'!$H$52="Media",'Mapa final'!$L$52="Leve"),CONCATENATE("R",'Mapa final'!$A$52),"")</f>
        <v/>
      </c>
      <c r="M26" s="314"/>
      <c r="N26" s="314" t="str">
        <f>IF(AND('Mapa final'!$H$58="Media",'Mapa final'!$L$58="Leve"),CONCATENATE("R",'Mapa final'!$A$58),"")</f>
        <v/>
      </c>
      <c r="O26" s="315"/>
      <c r="P26" s="313" t="str">
        <f>IF(AND('Mapa final'!$H$46="Media",'Mapa final'!$L$46="Menor"),CONCATENATE("R",'Mapa final'!$A$46),"")</f>
        <v/>
      </c>
      <c r="Q26" s="314"/>
      <c r="R26" s="314" t="str">
        <f>IF(AND('Mapa final'!$H$52="Media",'Mapa final'!$L$52="Menor"),CONCATENATE("R",'Mapa final'!$A$52),"")</f>
        <v/>
      </c>
      <c r="S26" s="314"/>
      <c r="T26" s="314" t="str">
        <f>IF(AND('Mapa final'!$H$58="Media",'Mapa final'!$L$58="Menor"),CONCATENATE("R",'Mapa final'!$A$58),"")</f>
        <v/>
      </c>
      <c r="U26" s="315"/>
      <c r="V26" s="313" t="str">
        <f>IF(AND('Mapa final'!$H$46="Media",'Mapa final'!$L$46="Moderado"),CONCATENATE("R",'Mapa final'!$A$46),"")</f>
        <v/>
      </c>
      <c r="W26" s="314"/>
      <c r="X26" s="314" t="str">
        <f>IF(AND('Mapa final'!$H$52="Media",'Mapa final'!$L$52="Moderado"),CONCATENATE("R",'Mapa final'!$A$52),"")</f>
        <v/>
      </c>
      <c r="Y26" s="314"/>
      <c r="Z26" s="314" t="str">
        <f>IF(AND('Mapa final'!$H$58="Media",'Mapa final'!$L$58="Moderado"),CONCATENATE("R",'Mapa final'!$A$58),"")</f>
        <v/>
      </c>
      <c r="AA26" s="315"/>
      <c r="AB26" s="297" t="str">
        <f>IF(AND('Mapa final'!$H$46="Media",'Mapa final'!$L$46="Mayor"),CONCATENATE("R",'Mapa final'!$A$46),"")</f>
        <v/>
      </c>
      <c r="AC26" s="293"/>
      <c r="AD26" s="293" t="str">
        <f>IF(AND('Mapa final'!$H$52="Media",'Mapa final'!$L$52="Mayor"),CONCATENATE("R",'Mapa final'!$A$52),"")</f>
        <v/>
      </c>
      <c r="AE26" s="293"/>
      <c r="AF26" s="293" t="str">
        <f>IF(AND('Mapa final'!$H$58="Media",'Mapa final'!$L$58="Mayor"),CONCATENATE("R",'Mapa final'!$A$58),"")</f>
        <v/>
      </c>
      <c r="AG26" s="294"/>
      <c r="AH26" s="304" t="str">
        <f>IF(AND('Mapa final'!$H$46="Media",'Mapa final'!$L$46="Catastrófico"),CONCATENATE("R",'Mapa final'!$A$46),"")</f>
        <v/>
      </c>
      <c r="AI26" s="305"/>
      <c r="AJ26" s="305" t="str">
        <f>IF(AND('Mapa final'!$H$52="Media",'Mapa final'!$L$52="Catastrófico"),CONCATENATE("R",'Mapa final'!$A$52),"")</f>
        <v/>
      </c>
      <c r="AK26" s="305"/>
      <c r="AL26" s="305" t="str">
        <f>IF(AND('Mapa final'!$H$58="Media",'Mapa final'!$L$58="Catastrófico"),CONCATENATE("R",'Mapa final'!$A$58),"")</f>
        <v/>
      </c>
      <c r="AM26" s="306"/>
      <c r="AN26" s="97"/>
      <c r="AO26" s="269"/>
      <c r="AP26" s="270"/>
      <c r="AQ26" s="270"/>
      <c r="AR26" s="270"/>
      <c r="AS26" s="270"/>
      <c r="AT26" s="271"/>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row>
    <row r="27" spans="1:80" x14ac:dyDescent="0.25">
      <c r="A27" s="97"/>
      <c r="B27" s="246"/>
      <c r="C27" s="246"/>
      <c r="D27" s="247"/>
      <c r="E27" s="287"/>
      <c r="F27" s="288"/>
      <c r="G27" s="288"/>
      <c r="H27" s="288"/>
      <c r="I27" s="289"/>
      <c r="J27" s="313"/>
      <c r="K27" s="314"/>
      <c r="L27" s="314"/>
      <c r="M27" s="314"/>
      <c r="N27" s="314"/>
      <c r="O27" s="315"/>
      <c r="P27" s="313"/>
      <c r="Q27" s="314"/>
      <c r="R27" s="314"/>
      <c r="S27" s="314"/>
      <c r="T27" s="314"/>
      <c r="U27" s="315"/>
      <c r="V27" s="313"/>
      <c r="W27" s="314"/>
      <c r="X27" s="314"/>
      <c r="Y27" s="314"/>
      <c r="Z27" s="314"/>
      <c r="AA27" s="315"/>
      <c r="AB27" s="297"/>
      <c r="AC27" s="293"/>
      <c r="AD27" s="293"/>
      <c r="AE27" s="293"/>
      <c r="AF27" s="293"/>
      <c r="AG27" s="294"/>
      <c r="AH27" s="304"/>
      <c r="AI27" s="305"/>
      <c r="AJ27" s="305"/>
      <c r="AK27" s="305"/>
      <c r="AL27" s="305"/>
      <c r="AM27" s="306"/>
      <c r="AN27" s="97"/>
      <c r="AO27" s="269"/>
      <c r="AP27" s="270"/>
      <c r="AQ27" s="270"/>
      <c r="AR27" s="270"/>
      <c r="AS27" s="270"/>
      <c r="AT27" s="271"/>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row>
    <row r="28" spans="1:80" x14ac:dyDescent="0.25">
      <c r="A28" s="97"/>
      <c r="B28" s="246"/>
      <c r="C28" s="246"/>
      <c r="D28" s="247"/>
      <c r="E28" s="287"/>
      <c r="F28" s="288"/>
      <c r="G28" s="288"/>
      <c r="H28" s="288"/>
      <c r="I28" s="289"/>
      <c r="J28" s="313" t="str">
        <f>IF(AND('Mapa final'!$H$64="Media",'Mapa final'!$L$64="Leve"),CONCATENATE("R",'Mapa final'!$A$64),"")</f>
        <v/>
      </c>
      <c r="K28" s="314"/>
      <c r="L28" s="314" t="str">
        <f>IF(AND('Mapa final'!$H$70="Media",'Mapa final'!$L$70="Leve"),CONCATENATE("R",'Mapa final'!$A$70),"")</f>
        <v/>
      </c>
      <c r="M28" s="314"/>
      <c r="N28" s="314" t="str">
        <f>IF(AND('Mapa final'!$H$76="Media",'Mapa final'!$L$76="Leve"),CONCATENATE("R",'Mapa final'!$A$76),"")</f>
        <v/>
      </c>
      <c r="O28" s="315"/>
      <c r="P28" s="313" t="str">
        <f>IF(AND('Mapa final'!$H$64="Media",'Mapa final'!$L$64="Menor"),CONCATENATE("R",'Mapa final'!$A$64),"")</f>
        <v/>
      </c>
      <c r="Q28" s="314"/>
      <c r="R28" s="314" t="str">
        <f>IF(AND('Mapa final'!$H$70="Media",'Mapa final'!$L$70="Menor"),CONCATENATE("R",'Mapa final'!$A$70),"")</f>
        <v/>
      </c>
      <c r="S28" s="314"/>
      <c r="T28" s="314" t="str">
        <f>IF(AND('Mapa final'!$H$76="Media",'Mapa final'!$L$76="Menor"),CONCATENATE("R",'Mapa final'!$A$76),"")</f>
        <v/>
      </c>
      <c r="U28" s="315"/>
      <c r="V28" s="313" t="str">
        <f>IF(AND('Mapa final'!$H$64="Media",'Mapa final'!$L$64="Moderado"),CONCATENATE("R",'Mapa final'!$A$64),"")</f>
        <v/>
      </c>
      <c r="W28" s="314"/>
      <c r="X28" s="314" t="str">
        <f>IF(AND('Mapa final'!$H$70="Media",'Mapa final'!$L$70="Moderado"),CONCATENATE("R",'Mapa final'!$A$70),"")</f>
        <v/>
      </c>
      <c r="Y28" s="314"/>
      <c r="Z28" s="314" t="str">
        <f>IF(AND('Mapa final'!$H$76="Media",'Mapa final'!$L$76="Moderado"),CONCATENATE("R",'Mapa final'!$A$76),"")</f>
        <v/>
      </c>
      <c r="AA28" s="315"/>
      <c r="AB28" s="297" t="str">
        <f>IF(AND('Mapa final'!$H$64="Media",'Mapa final'!$L$64="Mayor"),CONCATENATE("R",'Mapa final'!$A$64),"")</f>
        <v/>
      </c>
      <c r="AC28" s="293"/>
      <c r="AD28" s="293" t="str">
        <f>IF(AND('Mapa final'!$H$70="Media",'Mapa final'!$L$70="Mayor"),CONCATENATE("R",'Mapa final'!$A$70),"")</f>
        <v/>
      </c>
      <c r="AE28" s="293"/>
      <c r="AF28" s="293" t="str">
        <f>IF(AND('Mapa final'!$H$76="Media",'Mapa final'!$L$76="Mayor"),CONCATENATE("R",'Mapa final'!$A$76),"")</f>
        <v/>
      </c>
      <c r="AG28" s="294"/>
      <c r="AH28" s="304" t="str">
        <f>IF(AND('Mapa final'!$H$64="Media",'Mapa final'!$L$64="Catastrófico"),CONCATENATE("R",'Mapa final'!$A$64),"")</f>
        <v/>
      </c>
      <c r="AI28" s="305"/>
      <c r="AJ28" s="305" t="str">
        <f>IF(AND('Mapa final'!$H$70="Media",'Mapa final'!$L$70="Catastrófico"),CONCATENATE("R",'Mapa final'!$A$70),"")</f>
        <v/>
      </c>
      <c r="AK28" s="305"/>
      <c r="AL28" s="305" t="str">
        <f>IF(AND('Mapa final'!$H$76="Media",'Mapa final'!$L$76="Catastrófico"),CONCATENATE("R",'Mapa final'!$A$76),"")</f>
        <v/>
      </c>
      <c r="AM28" s="306"/>
      <c r="AN28" s="97"/>
      <c r="AO28" s="269"/>
      <c r="AP28" s="270"/>
      <c r="AQ28" s="270"/>
      <c r="AR28" s="270"/>
      <c r="AS28" s="270"/>
      <c r="AT28" s="271"/>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row>
    <row r="29" spans="1:80" ht="15.75" thickBot="1" x14ac:dyDescent="0.3">
      <c r="A29" s="97"/>
      <c r="B29" s="246"/>
      <c r="C29" s="246"/>
      <c r="D29" s="247"/>
      <c r="E29" s="290"/>
      <c r="F29" s="291"/>
      <c r="G29" s="291"/>
      <c r="H29" s="291"/>
      <c r="I29" s="292"/>
      <c r="J29" s="313"/>
      <c r="K29" s="314"/>
      <c r="L29" s="314"/>
      <c r="M29" s="314"/>
      <c r="N29" s="314"/>
      <c r="O29" s="315"/>
      <c r="P29" s="316"/>
      <c r="Q29" s="317"/>
      <c r="R29" s="317"/>
      <c r="S29" s="317"/>
      <c r="T29" s="317"/>
      <c r="U29" s="318"/>
      <c r="V29" s="316"/>
      <c r="W29" s="317"/>
      <c r="X29" s="317"/>
      <c r="Y29" s="317"/>
      <c r="Z29" s="317"/>
      <c r="AA29" s="318"/>
      <c r="AB29" s="301"/>
      <c r="AC29" s="302"/>
      <c r="AD29" s="302"/>
      <c r="AE29" s="302"/>
      <c r="AF29" s="302"/>
      <c r="AG29" s="303"/>
      <c r="AH29" s="307"/>
      <c r="AI29" s="308"/>
      <c r="AJ29" s="308"/>
      <c r="AK29" s="308"/>
      <c r="AL29" s="308"/>
      <c r="AM29" s="309"/>
      <c r="AN29" s="97"/>
      <c r="AO29" s="272"/>
      <c r="AP29" s="273"/>
      <c r="AQ29" s="273"/>
      <c r="AR29" s="273"/>
      <c r="AS29" s="273"/>
      <c r="AT29" s="274"/>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row>
    <row r="30" spans="1:80" x14ac:dyDescent="0.25">
      <c r="A30" s="97"/>
      <c r="B30" s="246"/>
      <c r="C30" s="246"/>
      <c r="D30" s="247"/>
      <c r="E30" s="284" t="s">
        <v>114</v>
      </c>
      <c r="F30" s="285"/>
      <c r="G30" s="285"/>
      <c r="H30" s="285"/>
      <c r="I30" s="285"/>
      <c r="J30" s="328" t="str">
        <f>IF(AND('Mapa final'!$H$10="Baja",'Mapa final'!$L$10="Leve"),CONCATENATE("R",'Mapa final'!$A$10),"")</f>
        <v/>
      </c>
      <c r="K30" s="329"/>
      <c r="L30" s="329" t="str">
        <f>IF(AND('Mapa final'!$H$16="Baja",'Mapa final'!$L$16="Leve"),CONCATENATE("R",'Mapa final'!$A$16),"")</f>
        <v/>
      </c>
      <c r="M30" s="329"/>
      <c r="N30" s="329" t="str">
        <f>IF(AND('Mapa final'!$H$22="Baja",'Mapa final'!$L$22="Leve"),CONCATENATE("R",'Mapa final'!$A$22),"")</f>
        <v>R3</v>
      </c>
      <c r="O30" s="330"/>
      <c r="P30" s="320" t="str">
        <f>IF(AND('Mapa final'!$H$10="Baja",'Mapa final'!$L$10="Menor"),CONCATENATE("R",'Mapa final'!$A$10),"")</f>
        <v>R1</v>
      </c>
      <c r="Q30" s="320"/>
      <c r="R30" s="320" t="str">
        <f>IF(AND('Mapa final'!$H$16="Baja",'Mapa final'!$L$16="Menor"),CONCATENATE("R",'Mapa final'!$A$16),"")</f>
        <v/>
      </c>
      <c r="S30" s="320"/>
      <c r="T30" s="320" t="str">
        <f>IF(AND('Mapa final'!$H$22="Baja",'Mapa final'!$L$22="Menor"),CONCATENATE("R",'Mapa final'!$A$22),"")</f>
        <v/>
      </c>
      <c r="U30" s="321"/>
      <c r="V30" s="319" t="str">
        <f>IF(AND('Mapa final'!$H$10="Baja",'Mapa final'!$L$10="Moderado"),CONCATENATE("R",'Mapa final'!$A$10),"")</f>
        <v/>
      </c>
      <c r="W30" s="320"/>
      <c r="X30" s="320" t="str">
        <f>IF(AND('Mapa final'!$H$16="Baja",'Mapa final'!$L$16="Moderado"),CONCATENATE("R",'Mapa final'!$A$16),"")</f>
        <v>R2</v>
      </c>
      <c r="Y30" s="320"/>
      <c r="Z30" s="320" t="str">
        <f>IF(AND('Mapa final'!$H$22="Baja",'Mapa final'!$L$22="Moderado"),CONCATENATE("R",'Mapa final'!$A$22),"")</f>
        <v/>
      </c>
      <c r="AA30" s="321"/>
      <c r="AB30" s="295" t="str">
        <f>IF(AND('Mapa final'!$H$10="Baja",'Mapa final'!$L$10="Mayor"),CONCATENATE("R",'Mapa final'!$A$10),"")</f>
        <v/>
      </c>
      <c r="AC30" s="296"/>
      <c r="AD30" s="296" t="str">
        <f>IF(AND('Mapa final'!$H$16="Baja",'Mapa final'!$L$16="Mayor"),CONCATENATE("R",'Mapa final'!$A$16),"")</f>
        <v/>
      </c>
      <c r="AE30" s="296"/>
      <c r="AF30" s="296" t="str">
        <f>IF(AND('Mapa final'!$H$22="Baja",'Mapa final'!$L$22="Mayor"),CONCATENATE("R",'Mapa final'!$A$22),"")</f>
        <v/>
      </c>
      <c r="AG30" s="298"/>
      <c r="AH30" s="310" t="str">
        <f>IF(AND('Mapa final'!$H$10="Baja",'Mapa final'!$L$10="Catastrófico"),CONCATENATE("R",'Mapa final'!$A$10),"")</f>
        <v/>
      </c>
      <c r="AI30" s="311"/>
      <c r="AJ30" s="311" t="str">
        <f>IF(AND('Mapa final'!$H$16="Baja",'Mapa final'!$L$16="Catastrófico"),CONCATENATE("R",'Mapa final'!$A$16),"")</f>
        <v/>
      </c>
      <c r="AK30" s="311"/>
      <c r="AL30" s="311" t="str">
        <f>IF(AND('Mapa final'!$H$22="Baja",'Mapa final'!$L$22="Catastrófico"),CONCATENATE("R",'Mapa final'!$A$22),"")</f>
        <v/>
      </c>
      <c r="AM30" s="312"/>
      <c r="AN30" s="97"/>
      <c r="AO30" s="275" t="s">
        <v>82</v>
      </c>
      <c r="AP30" s="276"/>
      <c r="AQ30" s="276"/>
      <c r="AR30" s="276"/>
      <c r="AS30" s="276"/>
      <c r="AT30" s="27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row>
    <row r="31" spans="1:80" x14ac:dyDescent="0.25">
      <c r="A31" s="97"/>
      <c r="B31" s="246"/>
      <c r="C31" s="246"/>
      <c r="D31" s="247"/>
      <c r="E31" s="287"/>
      <c r="F31" s="288"/>
      <c r="G31" s="288"/>
      <c r="H31" s="288"/>
      <c r="I31" s="288"/>
      <c r="J31" s="324"/>
      <c r="K31" s="322"/>
      <c r="L31" s="322"/>
      <c r="M31" s="322"/>
      <c r="N31" s="322"/>
      <c r="O31" s="323"/>
      <c r="P31" s="314"/>
      <c r="Q31" s="314"/>
      <c r="R31" s="314"/>
      <c r="S31" s="314"/>
      <c r="T31" s="314"/>
      <c r="U31" s="315"/>
      <c r="V31" s="313"/>
      <c r="W31" s="314"/>
      <c r="X31" s="314"/>
      <c r="Y31" s="314"/>
      <c r="Z31" s="314"/>
      <c r="AA31" s="315"/>
      <c r="AB31" s="297"/>
      <c r="AC31" s="293"/>
      <c r="AD31" s="293"/>
      <c r="AE31" s="293"/>
      <c r="AF31" s="293"/>
      <c r="AG31" s="294"/>
      <c r="AH31" s="304"/>
      <c r="AI31" s="305"/>
      <c r="AJ31" s="305"/>
      <c r="AK31" s="305"/>
      <c r="AL31" s="305"/>
      <c r="AM31" s="306"/>
      <c r="AN31" s="97"/>
      <c r="AO31" s="278"/>
      <c r="AP31" s="279"/>
      <c r="AQ31" s="279"/>
      <c r="AR31" s="279"/>
      <c r="AS31" s="279"/>
      <c r="AT31" s="280"/>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row>
    <row r="32" spans="1:80" x14ac:dyDescent="0.25">
      <c r="A32" s="97"/>
      <c r="B32" s="246"/>
      <c r="C32" s="246"/>
      <c r="D32" s="247"/>
      <c r="E32" s="287"/>
      <c r="F32" s="288"/>
      <c r="G32" s="288"/>
      <c r="H32" s="288"/>
      <c r="I32" s="288"/>
      <c r="J32" s="324" t="str">
        <f>IF(AND('Mapa final'!$H$28="Baja",'Mapa final'!$L$28="Leve"),CONCATENATE("R",'Mapa final'!$A$28),"")</f>
        <v/>
      </c>
      <c r="K32" s="322"/>
      <c r="L32" s="322" t="str">
        <f>IF(AND('Mapa final'!$H$34="Baja",'Mapa final'!$L$34="Leve"),CONCATENATE("R",'Mapa final'!$A$34),"")</f>
        <v/>
      </c>
      <c r="M32" s="322"/>
      <c r="N32" s="322" t="str">
        <f>IF(AND('Mapa final'!$H$40="Baja",'Mapa final'!$L$40="Leve"),CONCATENATE("R",'Mapa final'!$A$40),"")</f>
        <v/>
      </c>
      <c r="O32" s="323"/>
      <c r="P32" s="314" t="str">
        <f>IF(AND('Mapa final'!$H$28="Baja",'Mapa final'!$L$28="Menor"),CONCATENATE("R",'Mapa final'!$A$28),"")</f>
        <v>R4</v>
      </c>
      <c r="Q32" s="314"/>
      <c r="R32" s="314" t="str">
        <f>IF(AND('Mapa final'!$H$34="Baja",'Mapa final'!$L$34="Menor"),CONCATENATE("R",'Mapa final'!$A$34),"")</f>
        <v>R5</v>
      </c>
      <c r="S32" s="314"/>
      <c r="T32" s="314" t="str">
        <f>IF(AND('Mapa final'!$H$40="Baja",'Mapa final'!$L$40="Menor"),CONCATENATE("R",'Mapa final'!$A$40),"")</f>
        <v/>
      </c>
      <c r="U32" s="315"/>
      <c r="V32" s="313" t="str">
        <f>IF(AND('Mapa final'!$H$28="Baja",'Mapa final'!$L$28="Moderado"),CONCATENATE("R",'Mapa final'!$A$28),"")</f>
        <v/>
      </c>
      <c r="W32" s="314"/>
      <c r="X32" s="314" t="str">
        <f>IF(AND('Mapa final'!$H$34="Baja",'Mapa final'!$L$34="Moderado"),CONCATENATE("R",'Mapa final'!$A$34),"")</f>
        <v/>
      </c>
      <c r="Y32" s="314"/>
      <c r="Z32" s="314" t="str">
        <f>IF(AND('Mapa final'!$H$40="Baja",'Mapa final'!$L$40="Moderado"),CONCATENATE("R",'Mapa final'!$A$40),"")</f>
        <v/>
      </c>
      <c r="AA32" s="315"/>
      <c r="AB32" s="297" t="str">
        <f>IF(AND('Mapa final'!$H$28="Baja",'Mapa final'!$L$28="Mayor"),CONCATENATE("R",'Mapa final'!$A$28),"")</f>
        <v/>
      </c>
      <c r="AC32" s="293"/>
      <c r="AD32" s="293" t="str">
        <f>IF(AND('Mapa final'!$H$34="Baja",'Mapa final'!$L$34="Mayor"),CONCATENATE("R",'Mapa final'!$A$34),"")</f>
        <v/>
      </c>
      <c r="AE32" s="293"/>
      <c r="AF32" s="293" t="str">
        <f>IF(AND('Mapa final'!$H$40="Baja",'Mapa final'!$L$40="Mayor"),CONCATENATE("R",'Mapa final'!$A$40),"")</f>
        <v/>
      </c>
      <c r="AG32" s="294"/>
      <c r="AH32" s="304" t="str">
        <f>IF(AND('Mapa final'!$H$28="Baja",'Mapa final'!$L$28="Catastrófico"),CONCATENATE("R",'Mapa final'!$A$28),"")</f>
        <v/>
      </c>
      <c r="AI32" s="305"/>
      <c r="AJ32" s="305" t="str">
        <f>IF(AND('Mapa final'!$H$34="Baja",'Mapa final'!$L$34="Catastrófico"),CONCATENATE("R",'Mapa final'!$A$34),"")</f>
        <v/>
      </c>
      <c r="AK32" s="305"/>
      <c r="AL32" s="305" t="str">
        <f>IF(AND('Mapa final'!$H$40="Baja",'Mapa final'!$L$40="Catastrófico"),CONCATENATE("R",'Mapa final'!$A$40),"")</f>
        <v/>
      </c>
      <c r="AM32" s="306"/>
      <c r="AN32" s="97"/>
      <c r="AO32" s="278"/>
      <c r="AP32" s="279"/>
      <c r="AQ32" s="279"/>
      <c r="AR32" s="279"/>
      <c r="AS32" s="279"/>
      <c r="AT32" s="280"/>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row>
    <row r="33" spans="1:80" x14ac:dyDescent="0.25">
      <c r="A33" s="97"/>
      <c r="B33" s="246"/>
      <c r="C33" s="246"/>
      <c r="D33" s="247"/>
      <c r="E33" s="287"/>
      <c r="F33" s="288"/>
      <c r="G33" s="288"/>
      <c r="H33" s="288"/>
      <c r="I33" s="288"/>
      <c r="J33" s="324"/>
      <c r="K33" s="322"/>
      <c r="L33" s="322"/>
      <c r="M33" s="322"/>
      <c r="N33" s="322"/>
      <c r="O33" s="323"/>
      <c r="P33" s="314"/>
      <c r="Q33" s="314"/>
      <c r="R33" s="314"/>
      <c r="S33" s="314"/>
      <c r="T33" s="314"/>
      <c r="U33" s="315"/>
      <c r="V33" s="313"/>
      <c r="W33" s="314"/>
      <c r="X33" s="314"/>
      <c r="Y33" s="314"/>
      <c r="Z33" s="314"/>
      <c r="AA33" s="315"/>
      <c r="AB33" s="297"/>
      <c r="AC33" s="293"/>
      <c r="AD33" s="293"/>
      <c r="AE33" s="293"/>
      <c r="AF33" s="293"/>
      <c r="AG33" s="294"/>
      <c r="AH33" s="304"/>
      <c r="AI33" s="305"/>
      <c r="AJ33" s="305"/>
      <c r="AK33" s="305"/>
      <c r="AL33" s="305"/>
      <c r="AM33" s="306"/>
      <c r="AN33" s="97"/>
      <c r="AO33" s="278"/>
      <c r="AP33" s="279"/>
      <c r="AQ33" s="279"/>
      <c r="AR33" s="279"/>
      <c r="AS33" s="279"/>
      <c r="AT33" s="280"/>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row>
    <row r="34" spans="1:80" x14ac:dyDescent="0.25">
      <c r="A34" s="97"/>
      <c r="B34" s="246"/>
      <c r="C34" s="246"/>
      <c r="D34" s="247"/>
      <c r="E34" s="287"/>
      <c r="F34" s="288"/>
      <c r="G34" s="288"/>
      <c r="H34" s="288"/>
      <c r="I34" s="288"/>
      <c r="J34" s="324" t="str">
        <f>IF(AND('Mapa final'!$H$46="Baja",'Mapa final'!$L$46="Leve"),CONCATENATE("R",'Mapa final'!$A$46),"")</f>
        <v/>
      </c>
      <c r="K34" s="322"/>
      <c r="L34" s="322" t="str">
        <f>IF(AND('Mapa final'!$H$52="Baja",'Mapa final'!$L$52="Leve"),CONCATENATE("R",'Mapa final'!$A$52),"")</f>
        <v/>
      </c>
      <c r="M34" s="322"/>
      <c r="N34" s="322" t="str">
        <f>IF(AND('Mapa final'!$H$58="Baja",'Mapa final'!$L$58="Leve"),CONCATENATE("R",'Mapa final'!$A$58),"")</f>
        <v/>
      </c>
      <c r="O34" s="323"/>
      <c r="P34" s="314" t="str">
        <f>IF(AND('Mapa final'!$H$46="Baja",'Mapa final'!$L$46="Menor"),CONCATENATE("R",'Mapa final'!$A$46),"")</f>
        <v/>
      </c>
      <c r="Q34" s="314"/>
      <c r="R34" s="314" t="str">
        <f>IF(AND('Mapa final'!$H$52="Baja",'Mapa final'!$L$52="Menor"),CONCATENATE("R",'Mapa final'!$A$52),"")</f>
        <v/>
      </c>
      <c r="S34" s="314"/>
      <c r="T34" s="314" t="str">
        <f>IF(AND('Mapa final'!$H$58="Baja",'Mapa final'!$L$58="Menor"),CONCATENATE("R",'Mapa final'!$A$58),"")</f>
        <v/>
      </c>
      <c r="U34" s="315"/>
      <c r="V34" s="313" t="str">
        <f>IF(AND('Mapa final'!$H$46="Baja",'Mapa final'!$L$46="Moderado"),CONCATENATE("R",'Mapa final'!$A$46),"")</f>
        <v/>
      </c>
      <c r="W34" s="314"/>
      <c r="X34" s="314" t="str">
        <f>IF(AND('Mapa final'!$H$52="Baja",'Mapa final'!$L$52="Moderado"),CONCATENATE("R",'Mapa final'!$A$52),"")</f>
        <v/>
      </c>
      <c r="Y34" s="314"/>
      <c r="Z34" s="314" t="str">
        <f>IF(AND('Mapa final'!$H$58="Baja",'Mapa final'!$L$58="Moderado"),CONCATENATE("R",'Mapa final'!$A$58),"")</f>
        <v/>
      </c>
      <c r="AA34" s="315"/>
      <c r="AB34" s="297" t="str">
        <f>IF(AND('Mapa final'!$H$46="Baja",'Mapa final'!$L$46="Mayor"),CONCATENATE("R",'Mapa final'!$A$46),"")</f>
        <v/>
      </c>
      <c r="AC34" s="293"/>
      <c r="AD34" s="293" t="str">
        <f>IF(AND('Mapa final'!$H$52="Baja",'Mapa final'!$L$52="Mayor"),CONCATENATE("R",'Mapa final'!$A$52),"")</f>
        <v/>
      </c>
      <c r="AE34" s="293"/>
      <c r="AF34" s="293" t="str">
        <f>IF(AND('Mapa final'!$H$58="Baja",'Mapa final'!$L$58="Mayor"),CONCATENATE("R",'Mapa final'!$A$58),"")</f>
        <v/>
      </c>
      <c r="AG34" s="294"/>
      <c r="AH34" s="304" t="str">
        <f>IF(AND('Mapa final'!$H$46="Baja",'Mapa final'!$L$46="Catastrófico"),CONCATENATE("R",'Mapa final'!$A$46),"")</f>
        <v/>
      </c>
      <c r="AI34" s="305"/>
      <c r="AJ34" s="305" t="str">
        <f>IF(AND('Mapa final'!$H$52="Baja",'Mapa final'!$L$52="Catastrófico"),CONCATENATE("R",'Mapa final'!$A$52),"")</f>
        <v/>
      </c>
      <c r="AK34" s="305"/>
      <c r="AL34" s="305" t="str">
        <f>IF(AND('Mapa final'!$H$58="Baja",'Mapa final'!$L$58="Catastrófico"),CONCATENATE("R",'Mapa final'!$A$58),"")</f>
        <v/>
      </c>
      <c r="AM34" s="306"/>
      <c r="AN34" s="97"/>
      <c r="AO34" s="278"/>
      <c r="AP34" s="279"/>
      <c r="AQ34" s="279"/>
      <c r="AR34" s="279"/>
      <c r="AS34" s="279"/>
      <c r="AT34" s="280"/>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row>
    <row r="35" spans="1:80" x14ac:dyDescent="0.25">
      <c r="A35" s="97"/>
      <c r="B35" s="246"/>
      <c r="C35" s="246"/>
      <c r="D35" s="247"/>
      <c r="E35" s="287"/>
      <c r="F35" s="288"/>
      <c r="G35" s="288"/>
      <c r="H35" s="288"/>
      <c r="I35" s="288"/>
      <c r="J35" s="324"/>
      <c r="K35" s="322"/>
      <c r="L35" s="322"/>
      <c r="M35" s="322"/>
      <c r="N35" s="322"/>
      <c r="O35" s="323"/>
      <c r="P35" s="314"/>
      <c r="Q35" s="314"/>
      <c r="R35" s="314"/>
      <c r="S35" s="314"/>
      <c r="T35" s="314"/>
      <c r="U35" s="315"/>
      <c r="V35" s="313"/>
      <c r="W35" s="314"/>
      <c r="X35" s="314"/>
      <c r="Y35" s="314"/>
      <c r="Z35" s="314"/>
      <c r="AA35" s="315"/>
      <c r="AB35" s="297"/>
      <c r="AC35" s="293"/>
      <c r="AD35" s="293"/>
      <c r="AE35" s="293"/>
      <c r="AF35" s="293"/>
      <c r="AG35" s="294"/>
      <c r="AH35" s="304"/>
      <c r="AI35" s="305"/>
      <c r="AJ35" s="305"/>
      <c r="AK35" s="305"/>
      <c r="AL35" s="305"/>
      <c r="AM35" s="306"/>
      <c r="AN35" s="97"/>
      <c r="AO35" s="278"/>
      <c r="AP35" s="279"/>
      <c r="AQ35" s="279"/>
      <c r="AR35" s="279"/>
      <c r="AS35" s="279"/>
      <c r="AT35" s="280"/>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row>
    <row r="36" spans="1:80" x14ac:dyDescent="0.25">
      <c r="A36" s="97"/>
      <c r="B36" s="246"/>
      <c r="C36" s="246"/>
      <c r="D36" s="247"/>
      <c r="E36" s="287"/>
      <c r="F36" s="288"/>
      <c r="G36" s="288"/>
      <c r="H36" s="288"/>
      <c r="I36" s="288"/>
      <c r="J36" s="324" t="str">
        <f>IF(AND('Mapa final'!$H$64="Baja",'Mapa final'!$L$64="Leve"),CONCATENATE("R",'Mapa final'!$A$64),"")</f>
        <v/>
      </c>
      <c r="K36" s="322"/>
      <c r="L36" s="322" t="str">
        <f>IF(AND('Mapa final'!$H$70="Baja",'Mapa final'!$L$70="Leve"),CONCATENATE("R",'Mapa final'!$A$70),"")</f>
        <v/>
      </c>
      <c r="M36" s="322"/>
      <c r="N36" s="322" t="str">
        <f>IF(AND('Mapa final'!$H$76="Baja",'Mapa final'!$L$76="Leve"),CONCATENATE("R",'Mapa final'!$A$76),"")</f>
        <v/>
      </c>
      <c r="O36" s="323"/>
      <c r="P36" s="314" t="str">
        <f>IF(AND('Mapa final'!$H$64="Baja",'Mapa final'!$L$64="Menor"),CONCATENATE("R",'Mapa final'!$A$64),"")</f>
        <v/>
      </c>
      <c r="Q36" s="314"/>
      <c r="R36" s="314" t="str">
        <f>IF(AND('Mapa final'!$H$70="Baja",'Mapa final'!$L$70="Menor"),CONCATENATE("R",'Mapa final'!$A$70),"")</f>
        <v/>
      </c>
      <c r="S36" s="314"/>
      <c r="T36" s="314" t="str">
        <f>IF(AND('Mapa final'!$H$76="Baja",'Mapa final'!$L$76="Menor"),CONCATENATE("R",'Mapa final'!$A$76),"")</f>
        <v/>
      </c>
      <c r="U36" s="315"/>
      <c r="V36" s="313" t="str">
        <f>IF(AND('Mapa final'!$H$64="Baja",'Mapa final'!$L$64="Moderado"),CONCATENATE("R",'Mapa final'!$A$64),"")</f>
        <v/>
      </c>
      <c r="W36" s="314"/>
      <c r="X36" s="314" t="str">
        <f>IF(AND('Mapa final'!$H$70="Baja",'Mapa final'!$L$70="Moderado"),CONCATENATE("R",'Mapa final'!$A$70),"")</f>
        <v/>
      </c>
      <c r="Y36" s="314"/>
      <c r="Z36" s="314" t="str">
        <f>IF(AND('Mapa final'!$H$76="Baja",'Mapa final'!$L$76="Moderado"),CONCATENATE("R",'Mapa final'!$A$76),"")</f>
        <v/>
      </c>
      <c r="AA36" s="315"/>
      <c r="AB36" s="297" t="str">
        <f>IF(AND('Mapa final'!$H$64="Baja",'Mapa final'!$L$64="Mayor"),CONCATENATE("R",'Mapa final'!$A$64),"")</f>
        <v/>
      </c>
      <c r="AC36" s="293"/>
      <c r="AD36" s="293" t="str">
        <f>IF(AND('Mapa final'!$H$70="Baja",'Mapa final'!$L$70="Mayor"),CONCATENATE("R",'Mapa final'!$A$70),"")</f>
        <v/>
      </c>
      <c r="AE36" s="293"/>
      <c r="AF36" s="293" t="str">
        <f>IF(AND('Mapa final'!$H$76="Baja",'Mapa final'!$L$76="Mayor"),CONCATENATE("R",'Mapa final'!$A$76),"")</f>
        <v/>
      </c>
      <c r="AG36" s="294"/>
      <c r="AH36" s="304" t="str">
        <f>IF(AND('Mapa final'!$H$64="Baja",'Mapa final'!$L$64="Catastrófico"),CONCATENATE("R",'Mapa final'!$A$64),"")</f>
        <v/>
      </c>
      <c r="AI36" s="305"/>
      <c r="AJ36" s="305" t="str">
        <f>IF(AND('Mapa final'!$H$70="Baja",'Mapa final'!$L$70="Catastrófico"),CONCATENATE("R",'Mapa final'!$A$70),"")</f>
        <v/>
      </c>
      <c r="AK36" s="305"/>
      <c r="AL36" s="305" t="str">
        <f>IF(AND('Mapa final'!$H$76="Baja",'Mapa final'!$L$76="Catastrófico"),CONCATENATE("R",'Mapa final'!$A$76),"")</f>
        <v/>
      </c>
      <c r="AM36" s="306"/>
      <c r="AN36" s="97"/>
      <c r="AO36" s="278"/>
      <c r="AP36" s="279"/>
      <c r="AQ36" s="279"/>
      <c r="AR36" s="279"/>
      <c r="AS36" s="279"/>
      <c r="AT36" s="280"/>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row>
    <row r="37" spans="1:80" ht="15.75" thickBot="1" x14ac:dyDescent="0.3">
      <c r="A37" s="97"/>
      <c r="B37" s="246"/>
      <c r="C37" s="246"/>
      <c r="D37" s="247"/>
      <c r="E37" s="290"/>
      <c r="F37" s="291"/>
      <c r="G37" s="291"/>
      <c r="H37" s="291"/>
      <c r="I37" s="291"/>
      <c r="J37" s="325"/>
      <c r="K37" s="326"/>
      <c r="L37" s="326"/>
      <c r="M37" s="326"/>
      <c r="N37" s="326"/>
      <c r="O37" s="327"/>
      <c r="P37" s="317"/>
      <c r="Q37" s="317"/>
      <c r="R37" s="317"/>
      <c r="S37" s="317"/>
      <c r="T37" s="317"/>
      <c r="U37" s="318"/>
      <c r="V37" s="316"/>
      <c r="W37" s="317"/>
      <c r="X37" s="317"/>
      <c r="Y37" s="317"/>
      <c r="Z37" s="317"/>
      <c r="AA37" s="318"/>
      <c r="AB37" s="301"/>
      <c r="AC37" s="302"/>
      <c r="AD37" s="302"/>
      <c r="AE37" s="302"/>
      <c r="AF37" s="302"/>
      <c r="AG37" s="303"/>
      <c r="AH37" s="307"/>
      <c r="AI37" s="308"/>
      <c r="AJ37" s="308"/>
      <c r="AK37" s="308"/>
      <c r="AL37" s="308"/>
      <c r="AM37" s="309"/>
      <c r="AN37" s="97"/>
      <c r="AO37" s="281"/>
      <c r="AP37" s="282"/>
      <c r="AQ37" s="282"/>
      <c r="AR37" s="282"/>
      <c r="AS37" s="282"/>
      <c r="AT37" s="283"/>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row>
    <row r="38" spans="1:80" x14ac:dyDescent="0.25">
      <c r="A38" s="97"/>
      <c r="B38" s="246"/>
      <c r="C38" s="246"/>
      <c r="D38" s="247"/>
      <c r="E38" s="284" t="s">
        <v>113</v>
      </c>
      <c r="F38" s="285"/>
      <c r="G38" s="285"/>
      <c r="H38" s="285"/>
      <c r="I38" s="286"/>
      <c r="J38" s="328" t="str">
        <f>IF(AND('Mapa final'!$H$10="Muy Baja",'Mapa final'!$L$10="Leve"),CONCATENATE("R",'Mapa final'!$A$10),"")</f>
        <v/>
      </c>
      <c r="K38" s="329"/>
      <c r="L38" s="329" t="str">
        <f>IF(AND('Mapa final'!$H$16="Muy Baja",'Mapa final'!$L$16="Leve"),CONCATENATE("R",'Mapa final'!$A$16),"")</f>
        <v/>
      </c>
      <c r="M38" s="329"/>
      <c r="N38" s="329" t="str">
        <f>IF(AND('Mapa final'!$H$22="Muy Baja",'Mapa final'!$L$22="Leve"),CONCATENATE("R",'Mapa final'!$A$22),"")</f>
        <v/>
      </c>
      <c r="O38" s="330"/>
      <c r="P38" s="328" t="str">
        <f>IF(AND('Mapa final'!$H$10="Muy Baja",'Mapa final'!$L$10="Menor"),CONCATENATE("R",'Mapa final'!$A$10),"")</f>
        <v/>
      </c>
      <c r="Q38" s="329"/>
      <c r="R38" s="329" t="str">
        <f>IF(AND('Mapa final'!$H$16="Muy Baja",'Mapa final'!$L$16="Menor"),CONCATENATE("R",'Mapa final'!$A$16),"")</f>
        <v/>
      </c>
      <c r="S38" s="329"/>
      <c r="T38" s="329" t="str">
        <f>IF(AND('Mapa final'!$H$22="Muy Baja",'Mapa final'!$L$22="Menor"),CONCATENATE("R",'Mapa final'!$A$22),"")</f>
        <v/>
      </c>
      <c r="U38" s="330"/>
      <c r="V38" s="319" t="str">
        <f>IF(AND('Mapa final'!$H$10="Muy Baja",'Mapa final'!$L$10="Moderado"),CONCATENATE("R",'Mapa final'!$A$10),"")</f>
        <v/>
      </c>
      <c r="W38" s="320"/>
      <c r="X38" s="320" t="str">
        <f>IF(AND('Mapa final'!$H$16="Muy Baja",'Mapa final'!$L$16="Moderado"),CONCATENATE("R",'Mapa final'!$A$16),"")</f>
        <v/>
      </c>
      <c r="Y38" s="320"/>
      <c r="Z38" s="320" t="str">
        <f>IF(AND('Mapa final'!$H$22="Muy Baja",'Mapa final'!$L$22="Moderado"),CONCATENATE("R",'Mapa final'!$A$22),"")</f>
        <v/>
      </c>
      <c r="AA38" s="321"/>
      <c r="AB38" s="295" t="str">
        <f>IF(AND('Mapa final'!$H$10="Muy Baja",'Mapa final'!$L$10="Mayor"),CONCATENATE("R",'Mapa final'!$A$10),"")</f>
        <v/>
      </c>
      <c r="AC38" s="296"/>
      <c r="AD38" s="296" t="str">
        <f>IF(AND('Mapa final'!$H$16="Muy Baja",'Mapa final'!$L$16="Mayor"),CONCATENATE("R",'Mapa final'!$A$16),"")</f>
        <v/>
      </c>
      <c r="AE38" s="296"/>
      <c r="AF38" s="296" t="str">
        <f>IF(AND('Mapa final'!$H$22="Muy Baja",'Mapa final'!$L$22="Mayor"),CONCATENATE("R",'Mapa final'!$A$22),"")</f>
        <v/>
      </c>
      <c r="AG38" s="298"/>
      <c r="AH38" s="310" t="str">
        <f>IF(AND('Mapa final'!$H$10="Muy Baja",'Mapa final'!$L$10="Catastrófico"),CONCATENATE("R",'Mapa final'!$A$10),"")</f>
        <v/>
      </c>
      <c r="AI38" s="311"/>
      <c r="AJ38" s="311" t="str">
        <f>IF(AND('Mapa final'!$H$16="Muy Baja",'Mapa final'!$L$16="Catastrófico"),CONCATENATE("R",'Mapa final'!$A$16),"")</f>
        <v/>
      </c>
      <c r="AK38" s="311"/>
      <c r="AL38" s="311" t="str">
        <f>IF(AND('Mapa final'!$H$22="Muy Baja",'Mapa final'!$L$22="Catastrófico"),CONCATENATE("R",'Mapa final'!$A$22),"")</f>
        <v/>
      </c>
      <c r="AM38" s="312"/>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row>
    <row r="39" spans="1:80" x14ac:dyDescent="0.25">
      <c r="A39" s="97"/>
      <c r="B39" s="246"/>
      <c r="C39" s="246"/>
      <c r="D39" s="247"/>
      <c r="E39" s="287"/>
      <c r="F39" s="288"/>
      <c r="G39" s="288"/>
      <c r="H39" s="288"/>
      <c r="I39" s="289"/>
      <c r="J39" s="324"/>
      <c r="K39" s="322"/>
      <c r="L39" s="322"/>
      <c r="M39" s="322"/>
      <c r="N39" s="322"/>
      <c r="O39" s="323"/>
      <c r="P39" s="324"/>
      <c r="Q39" s="322"/>
      <c r="R39" s="322"/>
      <c r="S39" s="322"/>
      <c r="T39" s="322"/>
      <c r="U39" s="323"/>
      <c r="V39" s="313"/>
      <c r="W39" s="314"/>
      <c r="X39" s="314"/>
      <c r="Y39" s="314"/>
      <c r="Z39" s="314"/>
      <c r="AA39" s="315"/>
      <c r="AB39" s="297"/>
      <c r="AC39" s="293"/>
      <c r="AD39" s="293"/>
      <c r="AE39" s="293"/>
      <c r="AF39" s="293"/>
      <c r="AG39" s="294"/>
      <c r="AH39" s="304"/>
      <c r="AI39" s="305"/>
      <c r="AJ39" s="305"/>
      <c r="AK39" s="305"/>
      <c r="AL39" s="305"/>
      <c r="AM39" s="306"/>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row>
    <row r="40" spans="1:80" x14ac:dyDescent="0.25">
      <c r="A40" s="97"/>
      <c r="B40" s="246"/>
      <c r="C40" s="246"/>
      <c r="D40" s="247"/>
      <c r="E40" s="287"/>
      <c r="F40" s="288"/>
      <c r="G40" s="288"/>
      <c r="H40" s="288"/>
      <c r="I40" s="289"/>
      <c r="J40" s="324" t="str">
        <f>IF(AND('Mapa final'!$H$28="Muy Baja",'Mapa final'!$L$28="Leve"),CONCATENATE("R",'Mapa final'!$A$28),"")</f>
        <v/>
      </c>
      <c r="K40" s="322"/>
      <c r="L40" s="322" t="str">
        <f>IF(AND('Mapa final'!$H$34="Muy Baja",'Mapa final'!$L$34="Leve"),CONCATENATE("R",'Mapa final'!$A$34),"")</f>
        <v/>
      </c>
      <c r="M40" s="322"/>
      <c r="N40" s="322" t="str">
        <f>IF(AND('Mapa final'!$H$40="Muy Baja",'Mapa final'!$L$40="Leve"),CONCATENATE("R",'Mapa final'!$A$40),"")</f>
        <v/>
      </c>
      <c r="O40" s="323"/>
      <c r="P40" s="324" t="str">
        <f>IF(AND('Mapa final'!$H$28="Muy Baja",'Mapa final'!$L$28="Menor"),CONCATENATE("R",'Mapa final'!$A$28),"")</f>
        <v/>
      </c>
      <c r="Q40" s="322"/>
      <c r="R40" s="322" t="str">
        <f>IF(AND('Mapa final'!$H$34="Muy Baja",'Mapa final'!$L$34="Menor"),CONCATENATE("R",'Mapa final'!$A$34),"")</f>
        <v/>
      </c>
      <c r="S40" s="322"/>
      <c r="T40" s="322" t="str">
        <f>IF(AND('Mapa final'!$H$40="Muy Baja",'Mapa final'!$L$40="Menor"),CONCATENATE("R",'Mapa final'!$A$40),"")</f>
        <v/>
      </c>
      <c r="U40" s="323"/>
      <c r="V40" s="313" t="str">
        <f>IF(AND('Mapa final'!$H$28="Muy Baja",'Mapa final'!$L$28="Moderado"),CONCATENATE("R",'Mapa final'!$A$28),"")</f>
        <v/>
      </c>
      <c r="W40" s="314"/>
      <c r="X40" s="314" t="str">
        <f>IF(AND('Mapa final'!$H$34="Muy Baja",'Mapa final'!$L$34="Moderado"),CONCATENATE("R",'Mapa final'!$A$34),"")</f>
        <v/>
      </c>
      <c r="Y40" s="314"/>
      <c r="Z40" s="314" t="str">
        <f>IF(AND('Mapa final'!$H$40="Muy Baja",'Mapa final'!$L$40="Moderado"),CONCATENATE("R",'Mapa final'!$A$40),"")</f>
        <v/>
      </c>
      <c r="AA40" s="315"/>
      <c r="AB40" s="297" t="str">
        <f>IF(AND('Mapa final'!$H$28="Muy Baja",'Mapa final'!$L$28="Mayor"),CONCATENATE("R",'Mapa final'!$A$28),"")</f>
        <v/>
      </c>
      <c r="AC40" s="293"/>
      <c r="AD40" s="293" t="str">
        <f>IF(AND('Mapa final'!$H$34="Muy Baja",'Mapa final'!$L$34="Mayor"),CONCATENATE("R",'Mapa final'!$A$34),"")</f>
        <v/>
      </c>
      <c r="AE40" s="293"/>
      <c r="AF40" s="293" t="str">
        <f>IF(AND('Mapa final'!$H$40="Muy Baja",'Mapa final'!$L$40="Mayor"),CONCATENATE("R",'Mapa final'!$A$40),"")</f>
        <v/>
      </c>
      <c r="AG40" s="294"/>
      <c r="AH40" s="304" t="str">
        <f>IF(AND('Mapa final'!$H$28="Muy Baja",'Mapa final'!$L$28="Catastrófico"),CONCATENATE("R",'Mapa final'!$A$28),"")</f>
        <v/>
      </c>
      <c r="AI40" s="305"/>
      <c r="AJ40" s="305" t="str">
        <f>IF(AND('Mapa final'!$H$34="Muy Baja",'Mapa final'!$L$34="Catastrófico"),CONCATENATE("R",'Mapa final'!$A$34),"")</f>
        <v/>
      </c>
      <c r="AK40" s="305"/>
      <c r="AL40" s="305" t="str">
        <f>IF(AND('Mapa final'!$H$40="Muy Baja",'Mapa final'!$L$40="Catastrófico"),CONCATENATE("R",'Mapa final'!$A$40),"")</f>
        <v/>
      </c>
      <c r="AM40" s="306"/>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row>
    <row r="41" spans="1:80" x14ac:dyDescent="0.25">
      <c r="A41" s="97"/>
      <c r="B41" s="246"/>
      <c r="C41" s="246"/>
      <c r="D41" s="247"/>
      <c r="E41" s="287"/>
      <c r="F41" s="288"/>
      <c r="G41" s="288"/>
      <c r="H41" s="288"/>
      <c r="I41" s="289"/>
      <c r="J41" s="324"/>
      <c r="K41" s="322"/>
      <c r="L41" s="322"/>
      <c r="M41" s="322"/>
      <c r="N41" s="322"/>
      <c r="O41" s="323"/>
      <c r="P41" s="324"/>
      <c r="Q41" s="322"/>
      <c r="R41" s="322"/>
      <c r="S41" s="322"/>
      <c r="T41" s="322"/>
      <c r="U41" s="323"/>
      <c r="V41" s="313"/>
      <c r="W41" s="314"/>
      <c r="X41" s="314"/>
      <c r="Y41" s="314"/>
      <c r="Z41" s="314"/>
      <c r="AA41" s="315"/>
      <c r="AB41" s="297"/>
      <c r="AC41" s="293"/>
      <c r="AD41" s="293"/>
      <c r="AE41" s="293"/>
      <c r="AF41" s="293"/>
      <c r="AG41" s="294"/>
      <c r="AH41" s="304"/>
      <c r="AI41" s="305"/>
      <c r="AJ41" s="305"/>
      <c r="AK41" s="305"/>
      <c r="AL41" s="305"/>
      <c r="AM41" s="306"/>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row>
    <row r="42" spans="1:80" x14ac:dyDescent="0.25">
      <c r="A42" s="97"/>
      <c r="B42" s="246"/>
      <c r="C42" s="246"/>
      <c r="D42" s="247"/>
      <c r="E42" s="287"/>
      <c r="F42" s="288"/>
      <c r="G42" s="288"/>
      <c r="H42" s="288"/>
      <c r="I42" s="289"/>
      <c r="J42" s="324" t="str">
        <f>IF(AND('Mapa final'!$H$46="Muy Baja",'Mapa final'!$L$46="Leve"),CONCATENATE("R",'Mapa final'!$A$46),"")</f>
        <v/>
      </c>
      <c r="K42" s="322"/>
      <c r="L42" s="322" t="str">
        <f>IF(AND('Mapa final'!$H$52="Muy Baja",'Mapa final'!$L$52="Leve"),CONCATENATE("R",'Mapa final'!$A$52),"")</f>
        <v/>
      </c>
      <c r="M42" s="322"/>
      <c r="N42" s="322" t="str">
        <f>IF(AND('Mapa final'!$H$58="Muy Baja",'Mapa final'!$L$58="Leve"),CONCATENATE("R",'Mapa final'!$A$58),"")</f>
        <v/>
      </c>
      <c r="O42" s="323"/>
      <c r="P42" s="324" t="str">
        <f>IF(AND('Mapa final'!$H$46="Muy Baja",'Mapa final'!$L$46="Menor"),CONCATENATE("R",'Mapa final'!$A$46),"")</f>
        <v/>
      </c>
      <c r="Q42" s="322"/>
      <c r="R42" s="322" t="str">
        <f>IF(AND('Mapa final'!$H$52="Muy Baja",'Mapa final'!$L$52="Menor"),CONCATENATE("R",'Mapa final'!$A$52),"")</f>
        <v/>
      </c>
      <c r="S42" s="322"/>
      <c r="T42" s="322" t="str">
        <f>IF(AND('Mapa final'!$H$58="Muy Baja",'Mapa final'!$L$58="Menor"),CONCATENATE("R",'Mapa final'!$A$58),"")</f>
        <v/>
      </c>
      <c r="U42" s="323"/>
      <c r="V42" s="313" t="str">
        <f>IF(AND('Mapa final'!$H$46="Muy Baja",'Mapa final'!$L$46="Moderado"),CONCATENATE("R",'Mapa final'!$A$46),"")</f>
        <v/>
      </c>
      <c r="W42" s="314"/>
      <c r="X42" s="314" t="str">
        <f>IF(AND('Mapa final'!$H$52="Muy Baja",'Mapa final'!$L$52="Moderado"),CONCATENATE("R",'Mapa final'!$A$52),"")</f>
        <v/>
      </c>
      <c r="Y42" s="314"/>
      <c r="Z42" s="314" t="str">
        <f>IF(AND('Mapa final'!$H$58="Muy Baja",'Mapa final'!$L$58="Moderado"),CONCATENATE("R",'Mapa final'!$A$58),"")</f>
        <v/>
      </c>
      <c r="AA42" s="315"/>
      <c r="AB42" s="297" t="str">
        <f>IF(AND('Mapa final'!$H$46="Muy Baja",'Mapa final'!$L$46="Mayor"),CONCATENATE("R",'Mapa final'!$A$46),"")</f>
        <v/>
      </c>
      <c r="AC42" s="293"/>
      <c r="AD42" s="293" t="str">
        <f>IF(AND('Mapa final'!$H$52="Muy Baja",'Mapa final'!$L$52="Mayor"),CONCATENATE("R",'Mapa final'!$A$52),"")</f>
        <v/>
      </c>
      <c r="AE42" s="293"/>
      <c r="AF42" s="293" t="str">
        <f>IF(AND('Mapa final'!$H$58="Muy Baja",'Mapa final'!$L$58="Mayor"),CONCATENATE("R",'Mapa final'!$A$58),"")</f>
        <v/>
      </c>
      <c r="AG42" s="294"/>
      <c r="AH42" s="304" t="str">
        <f>IF(AND('Mapa final'!$H$46="Muy Baja",'Mapa final'!$L$46="Catastrófico"),CONCATENATE("R",'Mapa final'!$A$46),"")</f>
        <v/>
      </c>
      <c r="AI42" s="305"/>
      <c r="AJ42" s="305" t="str">
        <f>IF(AND('Mapa final'!$H$52="Muy Baja",'Mapa final'!$L$52="Catastrófico"),CONCATENATE("R",'Mapa final'!$A$52),"")</f>
        <v/>
      </c>
      <c r="AK42" s="305"/>
      <c r="AL42" s="305" t="str">
        <f>IF(AND('Mapa final'!$H$58="Muy Baja",'Mapa final'!$L$58="Catastrófico"),CONCATENATE("R",'Mapa final'!$A$58),"")</f>
        <v/>
      </c>
      <c r="AM42" s="306"/>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row>
    <row r="43" spans="1:80" x14ac:dyDescent="0.25">
      <c r="A43" s="97"/>
      <c r="B43" s="246"/>
      <c r="C43" s="246"/>
      <c r="D43" s="247"/>
      <c r="E43" s="287"/>
      <c r="F43" s="288"/>
      <c r="G43" s="288"/>
      <c r="H43" s="288"/>
      <c r="I43" s="289"/>
      <c r="J43" s="324"/>
      <c r="K43" s="322"/>
      <c r="L43" s="322"/>
      <c r="M43" s="322"/>
      <c r="N43" s="322"/>
      <c r="O43" s="323"/>
      <c r="P43" s="324"/>
      <c r="Q43" s="322"/>
      <c r="R43" s="322"/>
      <c r="S43" s="322"/>
      <c r="T43" s="322"/>
      <c r="U43" s="323"/>
      <c r="V43" s="313"/>
      <c r="W43" s="314"/>
      <c r="X43" s="314"/>
      <c r="Y43" s="314"/>
      <c r="Z43" s="314"/>
      <c r="AA43" s="315"/>
      <c r="AB43" s="297"/>
      <c r="AC43" s="293"/>
      <c r="AD43" s="293"/>
      <c r="AE43" s="293"/>
      <c r="AF43" s="293"/>
      <c r="AG43" s="294"/>
      <c r="AH43" s="304"/>
      <c r="AI43" s="305"/>
      <c r="AJ43" s="305"/>
      <c r="AK43" s="305"/>
      <c r="AL43" s="305"/>
      <c r="AM43" s="306"/>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row>
    <row r="44" spans="1:80" x14ac:dyDescent="0.25">
      <c r="A44" s="97"/>
      <c r="B44" s="246"/>
      <c r="C44" s="246"/>
      <c r="D44" s="247"/>
      <c r="E44" s="287"/>
      <c r="F44" s="288"/>
      <c r="G44" s="288"/>
      <c r="H44" s="288"/>
      <c r="I44" s="289"/>
      <c r="J44" s="324" t="str">
        <f>IF(AND('Mapa final'!$H$64="Muy Baja",'Mapa final'!$L$64="Leve"),CONCATENATE("R",'Mapa final'!$A$64),"")</f>
        <v/>
      </c>
      <c r="K44" s="322"/>
      <c r="L44" s="322" t="str">
        <f>IF(AND('Mapa final'!$H$70="Muy Baja",'Mapa final'!$L$70="Leve"),CONCATENATE("R",'Mapa final'!$A$70),"")</f>
        <v/>
      </c>
      <c r="M44" s="322"/>
      <c r="N44" s="322" t="str">
        <f>IF(AND('Mapa final'!$H$76="Muy Baja",'Mapa final'!$L$76="Leve"),CONCATENATE("R",'Mapa final'!$A$76),"")</f>
        <v/>
      </c>
      <c r="O44" s="323"/>
      <c r="P44" s="324" t="str">
        <f>IF(AND('Mapa final'!$H$64="Muy Baja",'Mapa final'!$L$64="Menor"),CONCATENATE("R",'Mapa final'!$A$64),"")</f>
        <v/>
      </c>
      <c r="Q44" s="322"/>
      <c r="R44" s="322" t="str">
        <f>IF(AND('Mapa final'!$H$70="Muy Baja",'Mapa final'!$L$70="Menor"),CONCATENATE("R",'Mapa final'!$A$70),"")</f>
        <v/>
      </c>
      <c r="S44" s="322"/>
      <c r="T44" s="322" t="str">
        <f>IF(AND('Mapa final'!$H$76="Muy Baja",'Mapa final'!$L$76="Menor"),CONCATENATE("R",'Mapa final'!$A$76),"")</f>
        <v/>
      </c>
      <c r="U44" s="323"/>
      <c r="V44" s="313" t="str">
        <f>IF(AND('Mapa final'!$H$64="Muy Baja",'Mapa final'!$L$64="Moderado"),CONCATENATE("R",'Mapa final'!$A$64),"")</f>
        <v/>
      </c>
      <c r="W44" s="314"/>
      <c r="X44" s="314" t="str">
        <f>IF(AND('Mapa final'!$H$70="Muy Baja",'Mapa final'!$L$70="Moderado"),CONCATENATE("R",'Mapa final'!$A$70),"")</f>
        <v/>
      </c>
      <c r="Y44" s="314"/>
      <c r="Z44" s="314" t="str">
        <f>IF(AND('Mapa final'!$H$76="Muy Baja",'Mapa final'!$L$76="Moderado"),CONCATENATE("R",'Mapa final'!$A$76),"")</f>
        <v/>
      </c>
      <c r="AA44" s="315"/>
      <c r="AB44" s="297" t="str">
        <f>IF(AND('Mapa final'!$H$64="Muy Baja",'Mapa final'!$L$64="Mayor"),CONCATENATE("R",'Mapa final'!$A$64),"")</f>
        <v/>
      </c>
      <c r="AC44" s="293"/>
      <c r="AD44" s="293" t="str">
        <f>IF(AND('Mapa final'!$H$70="Muy Baja",'Mapa final'!$L$70="Mayor"),CONCATENATE("R",'Mapa final'!$A$70),"")</f>
        <v/>
      </c>
      <c r="AE44" s="293"/>
      <c r="AF44" s="293" t="str">
        <f>IF(AND('Mapa final'!$H$76="Muy Baja",'Mapa final'!$L$76="Mayor"),CONCATENATE("R",'Mapa final'!$A$76),"")</f>
        <v/>
      </c>
      <c r="AG44" s="294"/>
      <c r="AH44" s="304" t="str">
        <f>IF(AND('Mapa final'!$H$64="Muy Baja",'Mapa final'!$L$64="Catastrófico"),CONCATENATE("R",'Mapa final'!$A$64),"")</f>
        <v/>
      </c>
      <c r="AI44" s="305"/>
      <c r="AJ44" s="305" t="str">
        <f>IF(AND('Mapa final'!$H$70="Muy Baja",'Mapa final'!$L$70="Catastrófico"),CONCATENATE("R",'Mapa final'!$A$70),"")</f>
        <v/>
      </c>
      <c r="AK44" s="305"/>
      <c r="AL44" s="305" t="str">
        <f>IF(AND('Mapa final'!$H$76="Muy Baja",'Mapa final'!$L$76="Catastrófico"),CONCATENATE("R",'Mapa final'!$A$76),"")</f>
        <v/>
      </c>
      <c r="AM44" s="306"/>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row>
    <row r="45" spans="1:80" ht="15.75" thickBot="1" x14ac:dyDescent="0.3">
      <c r="A45" s="97"/>
      <c r="B45" s="246"/>
      <c r="C45" s="246"/>
      <c r="D45" s="247"/>
      <c r="E45" s="290"/>
      <c r="F45" s="291"/>
      <c r="G45" s="291"/>
      <c r="H45" s="291"/>
      <c r="I45" s="292"/>
      <c r="J45" s="325"/>
      <c r="K45" s="326"/>
      <c r="L45" s="326"/>
      <c r="M45" s="326"/>
      <c r="N45" s="326"/>
      <c r="O45" s="327"/>
      <c r="P45" s="325"/>
      <c r="Q45" s="326"/>
      <c r="R45" s="326"/>
      <c r="S45" s="326"/>
      <c r="T45" s="326"/>
      <c r="U45" s="327"/>
      <c r="V45" s="316"/>
      <c r="W45" s="317"/>
      <c r="X45" s="317"/>
      <c r="Y45" s="317"/>
      <c r="Z45" s="317"/>
      <c r="AA45" s="318"/>
      <c r="AB45" s="301"/>
      <c r="AC45" s="302"/>
      <c r="AD45" s="302"/>
      <c r="AE45" s="302"/>
      <c r="AF45" s="302"/>
      <c r="AG45" s="303"/>
      <c r="AH45" s="307"/>
      <c r="AI45" s="308"/>
      <c r="AJ45" s="308"/>
      <c r="AK45" s="308"/>
      <c r="AL45" s="308"/>
      <c r="AM45" s="309"/>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row>
    <row r="46" spans="1:80" x14ac:dyDescent="0.25">
      <c r="A46" s="97"/>
      <c r="B46" s="97"/>
      <c r="C46" s="97"/>
      <c r="D46" s="97"/>
      <c r="E46" s="97"/>
      <c r="F46" s="97"/>
      <c r="G46" s="97"/>
      <c r="H46" s="97"/>
      <c r="I46" s="97"/>
      <c r="J46" s="284" t="s">
        <v>112</v>
      </c>
      <c r="K46" s="285"/>
      <c r="L46" s="285"/>
      <c r="M46" s="285"/>
      <c r="N46" s="285"/>
      <c r="O46" s="286"/>
      <c r="P46" s="284" t="s">
        <v>111</v>
      </c>
      <c r="Q46" s="285"/>
      <c r="R46" s="285"/>
      <c r="S46" s="285"/>
      <c r="T46" s="285"/>
      <c r="U46" s="286"/>
      <c r="V46" s="284" t="s">
        <v>110</v>
      </c>
      <c r="W46" s="285"/>
      <c r="X46" s="285"/>
      <c r="Y46" s="285"/>
      <c r="Z46" s="285"/>
      <c r="AA46" s="286"/>
      <c r="AB46" s="284" t="s">
        <v>109</v>
      </c>
      <c r="AC46" s="300"/>
      <c r="AD46" s="285"/>
      <c r="AE46" s="285"/>
      <c r="AF46" s="285"/>
      <c r="AG46" s="286"/>
      <c r="AH46" s="284" t="s">
        <v>108</v>
      </c>
      <c r="AI46" s="285"/>
      <c r="AJ46" s="285"/>
      <c r="AK46" s="285"/>
      <c r="AL46" s="285"/>
      <c r="AM46" s="286"/>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row>
    <row r="47" spans="1:80" x14ac:dyDescent="0.25">
      <c r="A47" s="97"/>
      <c r="B47" s="97"/>
      <c r="C47" s="97"/>
      <c r="D47" s="97"/>
      <c r="E47" s="97"/>
      <c r="F47" s="97"/>
      <c r="G47" s="97"/>
      <c r="H47" s="97"/>
      <c r="I47" s="97"/>
      <c r="J47" s="287"/>
      <c r="K47" s="288"/>
      <c r="L47" s="288"/>
      <c r="M47" s="288"/>
      <c r="N47" s="288"/>
      <c r="O47" s="289"/>
      <c r="P47" s="287"/>
      <c r="Q47" s="288"/>
      <c r="R47" s="288"/>
      <c r="S47" s="288"/>
      <c r="T47" s="288"/>
      <c r="U47" s="289"/>
      <c r="V47" s="287"/>
      <c r="W47" s="288"/>
      <c r="X47" s="288"/>
      <c r="Y47" s="288"/>
      <c r="Z47" s="288"/>
      <c r="AA47" s="289"/>
      <c r="AB47" s="287"/>
      <c r="AC47" s="288"/>
      <c r="AD47" s="288"/>
      <c r="AE47" s="288"/>
      <c r="AF47" s="288"/>
      <c r="AG47" s="289"/>
      <c r="AH47" s="287"/>
      <c r="AI47" s="288"/>
      <c r="AJ47" s="288"/>
      <c r="AK47" s="288"/>
      <c r="AL47" s="288"/>
      <c r="AM47" s="289"/>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row>
    <row r="48" spans="1:80" x14ac:dyDescent="0.25">
      <c r="A48" s="97"/>
      <c r="B48" s="97"/>
      <c r="C48" s="97"/>
      <c r="D48" s="97"/>
      <c r="E48" s="97"/>
      <c r="F48" s="97"/>
      <c r="G48" s="97"/>
      <c r="H48" s="97"/>
      <c r="I48" s="97"/>
      <c r="J48" s="287"/>
      <c r="K48" s="288"/>
      <c r="L48" s="288"/>
      <c r="M48" s="288"/>
      <c r="N48" s="288"/>
      <c r="O48" s="289"/>
      <c r="P48" s="287"/>
      <c r="Q48" s="288"/>
      <c r="R48" s="288"/>
      <c r="S48" s="288"/>
      <c r="T48" s="288"/>
      <c r="U48" s="289"/>
      <c r="V48" s="287"/>
      <c r="W48" s="288"/>
      <c r="X48" s="288"/>
      <c r="Y48" s="288"/>
      <c r="Z48" s="288"/>
      <c r="AA48" s="289"/>
      <c r="AB48" s="287"/>
      <c r="AC48" s="288"/>
      <c r="AD48" s="288"/>
      <c r="AE48" s="288"/>
      <c r="AF48" s="288"/>
      <c r="AG48" s="289"/>
      <c r="AH48" s="287"/>
      <c r="AI48" s="288"/>
      <c r="AJ48" s="288"/>
      <c r="AK48" s="288"/>
      <c r="AL48" s="288"/>
      <c r="AM48" s="289"/>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row>
    <row r="49" spans="1:80" x14ac:dyDescent="0.25">
      <c r="A49" s="97"/>
      <c r="B49" s="97"/>
      <c r="C49" s="97"/>
      <c r="D49" s="97"/>
      <c r="E49" s="97"/>
      <c r="F49" s="97"/>
      <c r="G49" s="97"/>
      <c r="H49" s="97"/>
      <c r="I49" s="97"/>
      <c r="J49" s="287"/>
      <c r="K49" s="288"/>
      <c r="L49" s="288"/>
      <c r="M49" s="288"/>
      <c r="N49" s="288"/>
      <c r="O49" s="289"/>
      <c r="P49" s="287"/>
      <c r="Q49" s="288"/>
      <c r="R49" s="288"/>
      <c r="S49" s="288"/>
      <c r="T49" s="288"/>
      <c r="U49" s="289"/>
      <c r="V49" s="287"/>
      <c r="W49" s="288"/>
      <c r="X49" s="288"/>
      <c r="Y49" s="288"/>
      <c r="Z49" s="288"/>
      <c r="AA49" s="289"/>
      <c r="AB49" s="287"/>
      <c r="AC49" s="288"/>
      <c r="AD49" s="288"/>
      <c r="AE49" s="288"/>
      <c r="AF49" s="288"/>
      <c r="AG49" s="289"/>
      <c r="AH49" s="287"/>
      <c r="AI49" s="288"/>
      <c r="AJ49" s="288"/>
      <c r="AK49" s="288"/>
      <c r="AL49" s="288"/>
      <c r="AM49" s="289"/>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row>
    <row r="50" spans="1:80" x14ac:dyDescent="0.25">
      <c r="A50" s="97"/>
      <c r="B50" s="97"/>
      <c r="C50" s="97"/>
      <c r="D50" s="97"/>
      <c r="E50" s="97"/>
      <c r="F50" s="97"/>
      <c r="G50" s="97"/>
      <c r="H50" s="97"/>
      <c r="I50" s="97"/>
      <c r="J50" s="287"/>
      <c r="K50" s="288"/>
      <c r="L50" s="288"/>
      <c r="M50" s="288"/>
      <c r="N50" s="288"/>
      <c r="O50" s="289"/>
      <c r="P50" s="287"/>
      <c r="Q50" s="288"/>
      <c r="R50" s="288"/>
      <c r="S50" s="288"/>
      <c r="T50" s="288"/>
      <c r="U50" s="289"/>
      <c r="V50" s="287"/>
      <c r="W50" s="288"/>
      <c r="X50" s="288"/>
      <c r="Y50" s="288"/>
      <c r="Z50" s="288"/>
      <c r="AA50" s="289"/>
      <c r="AB50" s="287"/>
      <c r="AC50" s="288"/>
      <c r="AD50" s="288"/>
      <c r="AE50" s="288"/>
      <c r="AF50" s="288"/>
      <c r="AG50" s="289"/>
      <c r="AH50" s="287"/>
      <c r="AI50" s="288"/>
      <c r="AJ50" s="288"/>
      <c r="AK50" s="288"/>
      <c r="AL50" s="288"/>
      <c r="AM50" s="289"/>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row>
    <row r="51" spans="1:80" ht="15.75" thickBot="1" x14ac:dyDescent="0.3">
      <c r="A51" s="97"/>
      <c r="B51" s="97"/>
      <c r="C51" s="97"/>
      <c r="D51" s="97"/>
      <c r="E51" s="97"/>
      <c r="F51" s="97"/>
      <c r="G51" s="97"/>
      <c r="H51" s="97"/>
      <c r="I51" s="97"/>
      <c r="J51" s="290"/>
      <c r="K51" s="291"/>
      <c r="L51" s="291"/>
      <c r="M51" s="291"/>
      <c r="N51" s="291"/>
      <c r="O51" s="292"/>
      <c r="P51" s="290"/>
      <c r="Q51" s="291"/>
      <c r="R51" s="291"/>
      <c r="S51" s="291"/>
      <c r="T51" s="291"/>
      <c r="U51" s="292"/>
      <c r="V51" s="290"/>
      <c r="W51" s="291"/>
      <c r="X51" s="291"/>
      <c r="Y51" s="291"/>
      <c r="Z51" s="291"/>
      <c r="AA51" s="292"/>
      <c r="AB51" s="290"/>
      <c r="AC51" s="291"/>
      <c r="AD51" s="291"/>
      <c r="AE51" s="291"/>
      <c r="AF51" s="291"/>
      <c r="AG51" s="292"/>
      <c r="AH51" s="290"/>
      <c r="AI51" s="291"/>
      <c r="AJ51" s="291"/>
      <c r="AK51" s="291"/>
      <c r="AL51" s="291"/>
      <c r="AM51" s="292"/>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row>
    <row r="52" spans="1:80" x14ac:dyDescent="0.2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row>
    <row r="53" spans="1:80" ht="15" customHeight="1" x14ac:dyDescent="0.25">
      <c r="A53" s="97"/>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row>
    <row r="54" spans="1:80" ht="15" customHeight="1" x14ac:dyDescent="0.25">
      <c r="A54" s="97"/>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row>
    <row r="55" spans="1:80" x14ac:dyDescent="0.25">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row>
    <row r="56" spans="1:80" x14ac:dyDescent="0.2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row>
    <row r="57" spans="1:80" x14ac:dyDescent="0.2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row>
    <row r="58" spans="1:80" x14ac:dyDescent="0.2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row>
    <row r="59" spans="1:80" x14ac:dyDescent="0.2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row>
    <row r="60" spans="1:80" x14ac:dyDescent="0.25">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row>
    <row r="61" spans="1:80" x14ac:dyDescent="0.2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row>
    <row r="62" spans="1:80" x14ac:dyDescent="0.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row>
    <row r="63" spans="1:80" x14ac:dyDescent="0.2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row>
    <row r="64" spans="1:80" x14ac:dyDescent="0.25">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row>
    <row r="65" spans="1:80" x14ac:dyDescent="0.2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row>
    <row r="66" spans="1:80" x14ac:dyDescent="0.2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row>
    <row r="67" spans="1:80" x14ac:dyDescent="0.2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row>
    <row r="68" spans="1:80" x14ac:dyDescent="0.2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row>
    <row r="69" spans="1:80" x14ac:dyDescent="0.2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row>
    <row r="70" spans="1:80" x14ac:dyDescent="0.2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row>
    <row r="71" spans="1:80" x14ac:dyDescent="0.2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row>
    <row r="72" spans="1:80" x14ac:dyDescent="0.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row>
    <row r="73" spans="1:80" x14ac:dyDescent="0.2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row>
    <row r="74" spans="1:80" x14ac:dyDescent="0.2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row>
    <row r="75" spans="1:80" x14ac:dyDescent="0.2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row>
    <row r="76" spans="1:80" x14ac:dyDescent="0.2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row>
    <row r="77" spans="1:80" x14ac:dyDescent="0.2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row>
    <row r="78" spans="1:80" x14ac:dyDescent="0.2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row>
    <row r="79" spans="1:80" x14ac:dyDescent="0.2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row>
    <row r="80" spans="1:80" x14ac:dyDescent="0.2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row>
    <row r="81" spans="1:63" x14ac:dyDescent="0.2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row>
    <row r="82" spans="1:63"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row>
    <row r="83" spans="1:63"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row>
    <row r="84" spans="1:63" x14ac:dyDescent="0.2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row>
    <row r="85" spans="1:63"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row>
    <row r="86" spans="1:63"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row>
    <row r="87" spans="1:63" x14ac:dyDescent="0.2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row>
    <row r="88" spans="1:63" x14ac:dyDescent="0.2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row>
    <row r="89" spans="1:63" x14ac:dyDescent="0.2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row>
    <row r="90" spans="1:63" x14ac:dyDescent="0.2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row>
    <row r="91" spans="1:63" x14ac:dyDescent="0.2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row>
    <row r="92" spans="1:63" x14ac:dyDescent="0.2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row>
    <row r="93" spans="1:63" x14ac:dyDescent="0.2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row>
    <row r="94" spans="1:63" x14ac:dyDescent="0.2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row>
    <row r="95" spans="1:63" x14ac:dyDescent="0.2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row>
    <row r="96" spans="1:63" x14ac:dyDescent="0.2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row>
    <row r="97" spans="1:63" x14ac:dyDescent="0.2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row>
    <row r="98" spans="1:63" x14ac:dyDescent="0.2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row>
    <row r="99" spans="1:63" x14ac:dyDescent="0.2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row>
    <row r="100" spans="1:63" x14ac:dyDescent="0.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row>
    <row r="101" spans="1:63" x14ac:dyDescent="0.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row>
    <row r="102" spans="1:63" x14ac:dyDescent="0.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row>
    <row r="103" spans="1:63" x14ac:dyDescent="0.2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row>
    <row r="104" spans="1:63" x14ac:dyDescent="0.2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row>
    <row r="105" spans="1:63" x14ac:dyDescent="0.2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row>
    <row r="106" spans="1:63" x14ac:dyDescent="0.2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row>
    <row r="107" spans="1:63" x14ac:dyDescent="0.2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row>
    <row r="108" spans="1:63" x14ac:dyDescent="0.2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row>
    <row r="109" spans="1:63" x14ac:dyDescent="0.2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row>
    <row r="110" spans="1:63" x14ac:dyDescent="0.2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row>
    <row r="111" spans="1:63" x14ac:dyDescent="0.2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row>
    <row r="112" spans="1:63" x14ac:dyDescent="0.2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row>
    <row r="113" spans="1:63" x14ac:dyDescent="0.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row>
    <row r="114" spans="1:63" x14ac:dyDescent="0.2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row>
    <row r="115" spans="1:63" x14ac:dyDescent="0.2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row>
    <row r="116" spans="1:63" x14ac:dyDescent="0.2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row>
    <row r="117" spans="1:63" x14ac:dyDescent="0.2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row>
    <row r="118" spans="1:63" x14ac:dyDescent="0.2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row>
    <row r="119" spans="1:63" x14ac:dyDescent="0.2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row>
    <row r="120" spans="1:63" x14ac:dyDescent="0.2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row>
    <row r="121" spans="1:63" x14ac:dyDescent="0.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row>
    <row r="122" spans="1:63" x14ac:dyDescent="0.25">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row>
    <row r="123" spans="1:63" x14ac:dyDescent="0.25">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row>
    <row r="124" spans="1:63" x14ac:dyDescent="0.25">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row>
    <row r="125" spans="1:63" x14ac:dyDescent="0.25">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row>
    <row r="126" spans="1:63" x14ac:dyDescent="0.25">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row>
    <row r="127" spans="1:63" x14ac:dyDescent="0.25">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row>
    <row r="128" spans="1:63" x14ac:dyDescent="0.25">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row>
    <row r="129" spans="2:63" x14ac:dyDescent="0.25">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row>
    <row r="130" spans="2:63" x14ac:dyDescent="0.25">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row>
    <row r="131" spans="2:63" x14ac:dyDescent="0.25">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row>
    <row r="132" spans="2:63" x14ac:dyDescent="0.25">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row>
    <row r="133" spans="2:63" x14ac:dyDescent="0.25">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row>
    <row r="134" spans="2:63" x14ac:dyDescent="0.25">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row>
    <row r="135" spans="2:63" x14ac:dyDescent="0.25">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row>
    <row r="136" spans="2:63" x14ac:dyDescent="0.25">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row>
    <row r="137" spans="2:63" x14ac:dyDescent="0.25">
      <c r="B137" s="97"/>
      <c r="C137" s="97"/>
      <c r="D137" s="97"/>
      <c r="E137" s="97"/>
      <c r="F137" s="97"/>
      <c r="G137" s="97"/>
      <c r="H137" s="97"/>
      <c r="I137" s="97"/>
    </row>
    <row r="138" spans="2:63" x14ac:dyDescent="0.25">
      <c r="B138" s="97"/>
      <c r="C138" s="97"/>
      <c r="D138" s="97"/>
      <c r="E138" s="97"/>
      <c r="F138" s="97"/>
      <c r="G138" s="97"/>
      <c r="H138" s="97"/>
      <c r="I138" s="97"/>
    </row>
    <row r="139" spans="2:63" x14ac:dyDescent="0.25">
      <c r="B139" s="97"/>
      <c r="C139" s="97"/>
      <c r="D139" s="97"/>
      <c r="E139" s="97"/>
      <c r="F139" s="97"/>
      <c r="G139" s="97"/>
      <c r="H139" s="97"/>
      <c r="I139" s="97"/>
    </row>
    <row r="140" spans="2:63" x14ac:dyDescent="0.25">
      <c r="B140" s="97"/>
      <c r="C140" s="97"/>
      <c r="D140" s="97"/>
      <c r="E140" s="97"/>
      <c r="F140" s="97"/>
      <c r="G140" s="97"/>
      <c r="H140" s="97"/>
      <c r="I140" s="97"/>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BF20" sqref="BF20"/>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row>
    <row r="2" spans="1:91" ht="18" customHeight="1" x14ac:dyDescent="0.25">
      <c r="A2" s="97"/>
      <c r="B2" s="357" t="s">
        <v>160</v>
      </c>
      <c r="C2" s="358"/>
      <c r="D2" s="358"/>
      <c r="E2" s="358"/>
      <c r="F2" s="358"/>
      <c r="G2" s="358"/>
      <c r="H2" s="358"/>
      <c r="I2" s="358"/>
      <c r="J2" s="299" t="s">
        <v>2</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row>
    <row r="3" spans="1:91" ht="18.75" customHeight="1" x14ac:dyDescent="0.25">
      <c r="A3" s="97"/>
      <c r="B3" s="358"/>
      <c r="C3" s="358"/>
      <c r="D3" s="358"/>
      <c r="E3" s="358"/>
      <c r="F3" s="358"/>
      <c r="G3" s="358"/>
      <c r="H3" s="358"/>
      <c r="I3" s="358"/>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row>
    <row r="4" spans="1:91" ht="15" customHeight="1" x14ac:dyDescent="0.25">
      <c r="A4" s="97"/>
      <c r="B4" s="358"/>
      <c r="C4" s="358"/>
      <c r="D4" s="358"/>
      <c r="E4" s="358"/>
      <c r="F4" s="358"/>
      <c r="G4" s="358"/>
      <c r="H4" s="358"/>
      <c r="I4" s="358"/>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row>
    <row r="5" spans="1:91" ht="15.75" thickBot="1" x14ac:dyDescent="0.3">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row>
    <row r="6" spans="1:91" ht="15" customHeight="1" x14ac:dyDescent="0.25">
      <c r="A6" s="97"/>
      <c r="B6" s="246" t="s">
        <v>4</v>
      </c>
      <c r="C6" s="246"/>
      <c r="D6" s="247"/>
      <c r="E6" s="341" t="s">
        <v>116</v>
      </c>
      <c r="F6" s="342"/>
      <c r="G6" s="342"/>
      <c r="H6" s="342"/>
      <c r="I6" s="359"/>
      <c r="J6" s="60" t="str">
        <f>IF(AND('Mapa final'!$Y$10="Muy Alta",'Mapa final'!$AA$10="Leve"),CONCATENATE("R1C",'Mapa final'!$O$10),"")</f>
        <v/>
      </c>
      <c r="K6" s="61" t="str">
        <f>IF(AND('Mapa final'!$Y$11="Muy Alta",'Mapa final'!$AA$11="Leve"),CONCATENATE("R1C",'Mapa final'!$O$11),"")</f>
        <v/>
      </c>
      <c r="L6" s="61" t="str">
        <f>IF(AND('Mapa final'!$Y$12="Muy Alta",'Mapa final'!$AA$12="Leve"),CONCATENATE("R1C",'Mapa final'!$O$12),"")</f>
        <v/>
      </c>
      <c r="M6" s="61" t="str">
        <f>IF(AND('Mapa final'!$Y$13="Muy Alta",'Mapa final'!$AA$13="Leve"),CONCATENATE("R1C",'Mapa final'!$O$13),"")</f>
        <v/>
      </c>
      <c r="N6" s="61" t="str">
        <f>IF(AND('Mapa final'!$Y$14="Muy Alta",'Mapa final'!$AA$14="Leve"),CONCATENATE("R1C",'Mapa final'!$O$14),"")</f>
        <v/>
      </c>
      <c r="O6" s="62" t="str">
        <f>IF(AND('Mapa final'!$Y$15="Muy Alta",'Mapa final'!$AA$15="Leve"),CONCATENATE("R1C",'Mapa final'!$O$15),"")</f>
        <v/>
      </c>
      <c r="P6" s="60" t="str">
        <f>IF(AND('Mapa final'!$Y$10="Muy Alta",'Mapa final'!$AA$10="Menor"),CONCATENATE("R1C",'Mapa final'!$O$10),"")</f>
        <v/>
      </c>
      <c r="Q6" s="61" t="str">
        <f>IF(AND('Mapa final'!$Y$11="Muy Alta",'Mapa final'!$AA$11="Menor"),CONCATENATE("R1C",'Mapa final'!$O$11),"")</f>
        <v/>
      </c>
      <c r="R6" s="61" t="str">
        <f>IF(AND('Mapa final'!$Y$12="Muy Alta",'Mapa final'!$AA$12="Menor"),CONCATENATE("R1C",'Mapa final'!$O$12),"")</f>
        <v/>
      </c>
      <c r="S6" s="61" t="str">
        <f>IF(AND('Mapa final'!$Y$13="Muy Alta",'Mapa final'!$AA$13="Menor"),CONCATENATE("R1C",'Mapa final'!$O$13),"")</f>
        <v/>
      </c>
      <c r="T6" s="61" t="str">
        <f>IF(AND('Mapa final'!$Y$14="Muy Alta",'Mapa final'!$AA$14="Menor"),CONCATENATE("R1C",'Mapa final'!$O$14),"")</f>
        <v/>
      </c>
      <c r="U6" s="62" t="str">
        <f>IF(AND('Mapa final'!$Y$15="Muy Alta",'Mapa final'!$AA$15="Menor"),CONCATENATE("R1C",'Mapa final'!$O$15),"")</f>
        <v/>
      </c>
      <c r="V6" s="60" t="str">
        <f>IF(AND('Mapa final'!$Y$10="Muy Alta",'Mapa final'!$AA$10="Moderado"),CONCATENATE("R1C",'Mapa final'!$O$10),"")</f>
        <v/>
      </c>
      <c r="W6" s="61" t="str">
        <f>IF(AND('Mapa final'!$Y$11="Muy Alta",'Mapa final'!$AA$11="Moderado"),CONCATENATE("R1C",'Mapa final'!$O$11),"")</f>
        <v/>
      </c>
      <c r="X6" s="61" t="str">
        <f>IF(AND('Mapa final'!$Y$12="Muy Alta",'Mapa final'!$AA$12="Moderado"),CONCATENATE("R1C",'Mapa final'!$O$12),"")</f>
        <v/>
      </c>
      <c r="Y6" s="61" t="str">
        <f>IF(AND('Mapa final'!$Y$13="Muy Alta",'Mapa final'!$AA$13="Moderado"),CONCATENATE("R1C",'Mapa final'!$O$13),"")</f>
        <v/>
      </c>
      <c r="Z6" s="61" t="str">
        <f>IF(AND('Mapa final'!$Y$14="Muy Alta",'Mapa final'!$AA$14="Moderado"),CONCATENATE("R1C",'Mapa final'!$O$14),"")</f>
        <v/>
      </c>
      <c r="AA6" s="62" t="str">
        <f>IF(AND('Mapa final'!$Y$15="Muy Alta",'Mapa final'!$AA$15="Moderado"),CONCATENATE("R1C",'Mapa final'!$O$15),"")</f>
        <v/>
      </c>
      <c r="AB6" s="60" t="str">
        <f>IF(AND('Mapa final'!$Y$10="Muy Alta",'Mapa final'!$AA$10="Mayor"),CONCATENATE("R1C",'Mapa final'!$O$10),"")</f>
        <v/>
      </c>
      <c r="AC6" s="61" t="str">
        <f>IF(AND('Mapa final'!$Y$11="Muy Alta",'Mapa final'!$AA$11="Mayor"),CONCATENATE("R1C",'Mapa final'!$O$11),"")</f>
        <v/>
      </c>
      <c r="AD6" s="61" t="str">
        <f>IF(AND('Mapa final'!$Y$12="Muy Alta",'Mapa final'!$AA$12="Mayor"),CONCATENATE("R1C",'Mapa final'!$O$12),"")</f>
        <v/>
      </c>
      <c r="AE6" s="61" t="str">
        <f>IF(AND('Mapa final'!$Y$13="Muy Alta",'Mapa final'!$AA$13="Mayor"),CONCATENATE("R1C",'Mapa final'!$O$13),"")</f>
        <v/>
      </c>
      <c r="AF6" s="61" t="str">
        <f>IF(AND('Mapa final'!$Y$14="Muy Alta",'Mapa final'!$AA$14="Mayor"),CONCATENATE("R1C",'Mapa final'!$O$14),"")</f>
        <v/>
      </c>
      <c r="AG6" s="62" t="str">
        <f>IF(AND('Mapa final'!$Y$15="Muy Alta",'Mapa final'!$AA$15="Mayor"),CONCATENATE("R1C",'Mapa final'!$O$15),"")</f>
        <v/>
      </c>
      <c r="AH6" s="63" t="str">
        <f>IF(AND('Mapa final'!$Y$10="Muy Alta",'Mapa final'!$AA$10="Catastrófico"),CONCATENATE("R1C",'Mapa final'!$O$10),"")</f>
        <v/>
      </c>
      <c r="AI6" s="64" t="str">
        <f>IF(AND('Mapa final'!$Y$11="Muy Alta",'Mapa final'!$AA$11="Catastrófico"),CONCATENATE("R1C",'Mapa final'!$O$11),"")</f>
        <v/>
      </c>
      <c r="AJ6" s="64" t="str">
        <f>IF(AND('Mapa final'!$Y$12="Muy Alta",'Mapa final'!$AA$12="Catastrófico"),CONCATENATE("R1C",'Mapa final'!$O$12),"")</f>
        <v/>
      </c>
      <c r="AK6" s="64" t="str">
        <f>IF(AND('Mapa final'!$Y$13="Muy Alta",'Mapa final'!$AA$13="Catastrófico"),CONCATENATE("R1C",'Mapa final'!$O$13),"")</f>
        <v/>
      </c>
      <c r="AL6" s="64" t="str">
        <f>IF(AND('Mapa final'!$Y$14="Muy Alta",'Mapa final'!$AA$14="Catastrófico"),CONCATENATE("R1C",'Mapa final'!$O$14),"")</f>
        <v/>
      </c>
      <c r="AM6" s="65" t="str">
        <f>IF(AND('Mapa final'!$Y$15="Muy Alta",'Mapa final'!$AA$15="Catastrófico"),CONCATENATE("R1C",'Mapa final'!$O$15),"")</f>
        <v/>
      </c>
      <c r="AN6" s="97"/>
      <c r="AO6" s="348" t="s">
        <v>79</v>
      </c>
      <c r="AP6" s="349"/>
      <c r="AQ6" s="349"/>
      <c r="AR6" s="349"/>
      <c r="AS6" s="349"/>
      <c r="AT6" s="350"/>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row>
    <row r="7" spans="1:91" ht="15" customHeight="1" x14ac:dyDescent="0.25">
      <c r="A7" s="97"/>
      <c r="B7" s="246"/>
      <c r="C7" s="246"/>
      <c r="D7" s="247"/>
      <c r="E7" s="345"/>
      <c r="F7" s="344"/>
      <c r="G7" s="344"/>
      <c r="H7" s="344"/>
      <c r="I7" s="360"/>
      <c r="J7" s="66" t="str">
        <f>IF(AND('Mapa final'!$Y$16="Muy Alta",'Mapa final'!$AA$16="Leve"),CONCATENATE("R2C",'Mapa final'!$O$16),"")</f>
        <v/>
      </c>
      <c r="K7" s="67" t="str">
        <f>IF(AND('Mapa final'!$Y$17="Muy Alta",'Mapa final'!$AA$17="Leve"),CONCATENATE("R2C",'Mapa final'!$O$17),"")</f>
        <v/>
      </c>
      <c r="L7" s="67" t="str">
        <f>IF(AND('Mapa final'!$Y$18="Muy Alta",'Mapa final'!$AA$18="Leve"),CONCATENATE("R2C",'Mapa final'!$O$18),"")</f>
        <v/>
      </c>
      <c r="M7" s="67" t="str">
        <f>IF(AND('Mapa final'!$Y$19="Muy Alta",'Mapa final'!$AA$19="Leve"),CONCATENATE("R2C",'Mapa final'!$O$19),"")</f>
        <v/>
      </c>
      <c r="N7" s="67" t="str">
        <f>IF(AND('Mapa final'!$Y$20="Muy Alta",'Mapa final'!$AA$20="Leve"),CONCATENATE("R2C",'Mapa final'!$O$20),"")</f>
        <v/>
      </c>
      <c r="O7" s="68" t="str">
        <f>IF(AND('Mapa final'!$Y$21="Muy Alta",'Mapa final'!$AA$21="Leve"),CONCATENATE("R2C",'Mapa final'!$O$21),"")</f>
        <v/>
      </c>
      <c r="P7" s="66" t="str">
        <f>IF(AND('Mapa final'!$Y$16="Muy Alta",'Mapa final'!$AA$16="Menor"),CONCATENATE("R2C",'Mapa final'!$O$16),"")</f>
        <v/>
      </c>
      <c r="Q7" s="67" t="str">
        <f>IF(AND('Mapa final'!$Y$17="Muy Alta",'Mapa final'!$AA$17="Menor"),CONCATENATE("R2C",'Mapa final'!$O$17),"")</f>
        <v/>
      </c>
      <c r="R7" s="67" t="str">
        <f>IF(AND('Mapa final'!$Y$18="Muy Alta",'Mapa final'!$AA$18="Menor"),CONCATENATE("R2C",'Mapa final'!$O$18),"")</f>
        <v/>
      </c>
      <c r="S7" s="67" t="str">
        <f>IF(AND('Mapa final'!$Y$19="Muy Alta",'Mapa final'!$AA$19="Menor"),CONCATENATE("R2C",'Mapa final'!$O$19),"")</f>
        <v/>
      </c>
      <c r="T7" s="67" t="str">
        <f>IF(AND('Mapa final'!$Y$20="Muy Alta",'Mapa final'!$AA$20="Menor"),CONCATENATE("R2C",'Mapa final'!$O$20),"")</f>
        <v/>
      </c>
      <c r="U7" s="68" t="str">
        <f>IF(AND('Mapa final'!$Y$21="Muy Alta",'Mapa final'!$AA$21="Menor"),CONCATENATE("R2C",'Mapa final'!$O$21),"")</f>
        <v/>
      </c>
      <c r="V7" s="66" t="str">
        <f>IF(AND('Mapa final'!$Y$16="Muy Alta",'Mapa final'!$AA$16="Moderado"),CONCATENATE("R2C",'Mapa final'!$O$16),"")</f>
        <v/>
      </c>
      <c r="W7" s="67" t="str">
        <f>IF(AND('Mapa final'!$Y$17="Muy Alta",'Mapa final'!$AA$17="Moderado"),CONCATENATE("R2C",'Mapa final'!$O$17),"")</f>
        <v/>
      </c>
      <c r="X7" s="67" t="str">
        <f>IF(AND('Mapa final'!$Y$18="Muy Alta",'Mapa final'!$AA$18="Moderado"),CONCATENATE("R2C",'Mapa final'!$O$18),"")</f>
        <v/>
      </c>
      <c r="Y7" s="67" t="str">
        <f>IF(AND('Mapa final'!$Y$19="Muy Alta",'Mapa final'!$AA$19="Moderado"),CONCATENATE("R2C",'Mapa final'!$O$19),"")</f>
        <v/>
      </c>
      <c r="Z7" s="67" t="str">
        <f>IF(AND('Mapa final'!$Y$20="Muy Alta",'Mapa final'!$AA$20="Moderado"),CONCATENATE("R2C",'Mapa final'!$O$20),"")</f>
        <v/>
      </c>
      <c r="AA7" s="68" t="str">
        <f>IF(AND('Mapa final'!$Y$21="Muy Alta",'Mapa final'!$AA$21="Moderado"),CONCATENATE("R2C",'Mapa final'!$O$21),"")</f>
        <v/>
      </c>
      <c r="AB7" s="66" t="str">
        <f>IF(AND('Mapa final'!$Y$16="Muy Alta",'Mapa final'!$AA$16="Mayor"),CONCATENATE("R2C",'Mapa final'!$O$16),"")</f>
        <v/>
      </c>
      <c r="AC7" s="67" t="str">
        <f>IF(AND('Mapa final'!$Y$17="Muy Alta",'Mapa final'!$AA$17="Mayor"),CONCATENATE("R2C",'Mapa final'!$O$17),"")</f>
        <v/>
      </c>
      <c r="AD7" s="67" t="str">
        <f>IF(AND('Mapa final'!$Y$18="Muy Alta",'Mapa final'!$AA$18="Mayor"),CONCATENATE("R2C",'Mapa final'!$O$18),"")</f>
        <v/>
      </c>
      <c r="AE7" s="67" t="str">
        <f>IF(AND('Mapa final'!$Y$19="Muy Alta",'Mapa final'!$AA$19="Mayor"),CONCATENATE("R2C",'Mapa final'!$O$19),"")</f>
        <v/>
      </c>
      <c r="AF7" s="67" t="str">
        <f>IF(AND('Mapa final'!$Y$20="Muy Alta",'Mapa final'!$AA$20="Mayor"),CONCATENATE("R2C",'Mapa final'!$O$20),"")</f>
        <v/>
      </c>
      <c r="AG7" s="68" t="str">
        <f>IF(AND('Mapa final'!$Y$21="Muy Alta",'Mapa final'!$AA$21="Mayor"),CONCATENATE("R2C",'Mapa final'!$O$21),"")</f>
        <v/>
      </c>
      <c r="AH7" s="69" t="str">
        <f>IF(AND('Mapa final'!$Y$16="Muy Alta",'Mapa final'!$AA$16="Catastrófico"),CONCATENATE("R2C",'Mapa final'!$O$16),"")</f>
        <v/>
      </c>
      <c r="AI7" s="70" t="str">
        <f>IF(AND('Mapa final'!$Y$17="Muy Alta",'Mapa final'!$AA$17="Catastrófico"),CONCATENATE("R2C",'Mapa final'!$O$17),"")</f>
        <v/>
      </c>
      <c r="AJ7" s="70" t="str">
        <f>IF(AND('Mapa final'!$Y$18="Muy Alta",'Mapa final'!$AA$18="Catastrófico"),CONCATENATE("R2C",'Mapa final'!$O$18),"")</f>
        <v/>
      </c>
      <c r="AK7" s="70" t="str">
        <f>IF(AND('Mapa final'!$Y$19="Muy Alta",'Mapa final'!$AA$19="Catastrófico"),CONCATENATE("R2C",'Mapa final'!$O$19),"")</f>
        <v/>
      </c>
      <c r="AL7" s="70" t="str">
        <f>IF(AND('Mapa final'!$Y$20="Muy Alta",'Mapa final'!$AA$20="Catastrófico"),CONCATENATE("R2C",'Mapa final'!$O$20),"")</f>
        <v/>
      </c>
      <c r="AM7" s="71" t="str">
        <f>IF(AND('Mapa final'!$Y$21="Muy Alta",'Mapa final'!$AA$21="Catastrófico"),CONCATENATE("R2C",'Mapa final'!$O$21),"")</f>
        <v/>
      </c>
      <c r="AN7" s="97"/>
      <c r="AO7" s="351"/>
      <c r="AP7" s="352"/>
      <c r="AQ7" s="352"/>
      <c r="AR7" s="352"/>
      <c r="AS7" s="352"/>
      <c r="AT7" s="353"/>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row>
    <row r="8" spans="1:91" ht="15" customHeight="1" x14ac:dyDescent="0.25">
      <c r="A8" s="97"/>
      <c r="B8" s="246"/>
      <c r="C8" s="246"/>
      <c r="D8" s="247"/>
      <c r="E8" s="345"/>
      <c r="F8" s="344"/>
      <c r="G8" s="344"/>
      <c r="H8" s="344"/>
      <c r="I8" s="360"/>
      <c r="J8" s="66" t="str">
        <f>IF(AND('Mapa final'!$Y$22="Muy Alta",'Mapa final'!$AA$22="Leve"),CONCATENATE("R3C",'Mapa final'!$O$22),"")</f>
        <v/>
      </c>
      <c r="K8" s="67" t="str">
        <f>IF(AND('Mapa final'!$Y$23="Muy Alta",'Mapa final'!$AA$23="Leve"),CONCATENATE("R3C",'Mapa final'!$O$23),"")</f>
        <v/>
      </c>
      <c r="L8" s="67" t="str">
        <f>IF(AND('Mapa final'!$Y$24="Muy Alta",'Mapa final'!$AA$24="Leve"),CONCATENATE("R3C",'Mapa final'!$O$24),"")</f>
        <v/>
      </c>
      <c r="M8" s="67" t="str">
        <f>IF(AND('Mapa final'!$Y$25="Muy Alta",'Mapa final'!$AA$25="Leve"),CONCATENATE("R3C",'Mapa final'!$O$25),"")</f>
        <v/>
      </c>
      <c r="N8" s="67" t="str">
        <f>IF(AND('Mapa final'!$Y$26="Muy Alta",'Mapa final'!$AA$26="Leve"),CONCATENATE("R3C",'Mapa final'!$O$26),"")</f>
        <v/>
      </c>
      <c r="O8" s="68" t="str">
        <f>IF(AND('Mapa final'!$Y$27="Muy Alta",'Mapa final'!$AA$27="Leve"),CONCATENATE("R3C",'Mapa final'!$O$27),"")</f>
        <v/>
      </c>
      <c r="P8" s="66" t="str">
        <f>IF(AND('Mapa final'!$Y$22="Muy Alta",'Mapa final'!$AA$22="Menor"),CONCATENATE("R3C",'Mapa final'!$O$22),"")</f>
        <v/>
      </c>
      <c r="Q8" s="67" t="str">
        <f>IF(AND('Mapa final'!$Y$23="Muy Alta",'Mapa final'!$AA$23="Menor"),CONCATENATE("R3C",'Mapa final'!$O$23),"")</f>
        <v/>
      </c>
      <c r="R8" s="67" t="str">
        <f>IF(AND('Mapa final'!$Y$24="Muy Alta",'Mapa final'!$AA$24="Menor"),CONCATENATE("R3C",'Mapa final'!$O$24),"")</f>
        <v/>
      </c>
      <c r="S8" s="67" t="str">
        <f>IF(AND('Mapa final'!$Y$25="Muy Alta",'Mapa final'!$AA$25="Menor"),CONCATENATE("R3C",'Mapa final'!$O$25),"")</f>
        <v/>
      </c>
      <c r="T8" s="67" t="str">
        <f>IF(AND('Mapa final'!$Y$26="Muy Alta",'Mapa final'!$AA$26="Menor"),CONCATENATE("R3C",'Mapa final'!$O$26),"")</f>
        <v/>
      </c>
      <c r="U8" s="68" t="str">
        <f>IF(AND('Mapa final'!$Y$27="Muy Alta",'Mapa final'!$AA$27="Menor"),CONCATENATE("R3C",'Mapa final'!$O$27),"")</f>
        <v/>
      </c>
      <c r="V8" s="66" t="str">
        <f>IF(AND('Mapa final'!$Y$22="Muy Alta",'Mapa final'!$AA$22="Moderado"),CONCATENATE("R3C",'Mapa final'!$O$22),"")</f>
        <v/>
      </c>
      <c r="W8" s="67" t="str">
        <f>IF(AND('Mapa final'!$Y$23="Muy Alta",'Mapa final'!$AA$23="Moderado"),CONCATENATE("R3C",'Mapa final'!$O$23),"")</f>
        <v/>
      </c>
      <c r="X8" s="67" t="str">
        <f>IF(AND('Mapa final'!$Y$24="Muy Alta",'Mapa final'!$AA$24="Moderado"),CONCATENATE("R3C",'Mapa final'!$O$24),"")</f>
        <v/>
      </c>
      <c r="Y8" s="67" t="str">
        <f>IF(AND('Mapa final'!$Y$25="Muy Alta",'Mapa final'!$AA$25="Moderado"),CONCATENATE("R3C",'Mapa final'!$O$25),"")</f>
        <v/>
      </c>
      <c r="Z8" s="67" t="str">
        <f>IF(AND('Mapa final'!$Y$26="Muy Alta",'Mapa final'!$AA$26="Moderado"),CONCATENATE("R3C",'Mapa final'!$O$26),"")</f>
        <v/>
      </c>
      <c r="AA8" s="68" t="str">
        <f>IF(AND('Mapa final'!$Y$27="Muy Alta",'Mapa final'!$AA$27="Moderado"),CONCATENATE("R3C",'Mapa final'!$O$27),"")</f>
        <v/>
      </c>
      <c r="AB8" s="66" t="str">
        <f>IF(AND('Mapa final'!$Y$22="Muy Alta",'Mapa final'!$AA$22="Mayor"),CONCATENATE("R3C",'Mapa final'!$O$22),"")</f>
        <v/>
      </c>
      <c r="AC8" s="67" t="str">
        <f>IF(AND('Mapa final'!$Y$23="Muy Alta",'Mapa final'!$AA$23="Mayor"),CONCATENATE("R3C",'Mapa final'!$O$23),"")</f>
        <v/>
      </c>
      <c r="AD8" s="67" t="str">
        <f>IF(AND('Mapa final'!$Y$24="Muy Alta",'Mapa final'!$AA$24="Mayor"),CONCATENATE("R3C",'Mapa final'!$O$24),"")</f>
        <v/>
      </c>
      <c r="AE8" s="67" t="str">
        <f>IF(AND('Mapa final'!$Y$25="Muy Alta",'Mapa final'!$AA$25="Mayor"),CONCATENATE("R3C",'Mapa final'!$O$25),"")</f>
        <v/>
      </c>
      <c r="AF8" s="67" t="str">
        <f>IF(AND('Mapa final'!$Y$26="Muy Alta",'Mapa final'!$AA$26="Mayor"),CONCATENATE("R3C",'Mapa final'!$O$26),"")</f>
        <v/>
      </c>
      <c r="AG8" s="68" t="str">
        <f>IF(AND('Mapa final'!$Y$27="Muy Alta",'Mapa final'!$AA$27="Mayor"),CONCATENATE("R3C",'Mapa final'!$O$27),"")</f>
        <v/>
      </c>
      <c r="AH8" s="69" t="str">
        <f>IF(AND('Mapa final'!$Y$22="Muy Alta",'Mapa final'!$AA$22="Catastrófico"),CONCATENATE("R3C",'Mapa final'!$O$22),"")</f>
        <v/>
      </c>
      <c r="AI8" s="70" t="str">
        <f>IF(AND('Mapa final'!$Y$23="Muy Alta",'Mapa final'!$AA$23="Catastrófico"),CONCATENATE("R3C",'Mapa final'!$O$23),"")</f>
        <v/>
      </c>
      <c r="AJ8" s="70" t="str">
        <f>IF(AND('Mapa final'!$Y$24="Muy Alta",'Mapa final'!$AA$24="Catastrófico"),CONCATENATE("R3C",'Mapa final'!$O$24),"")</f>
        <v/>
      </c>
      <c r="AK8" s="70" t="str">
        <f>IF(AND('Mapa final'!$Y$25="Muy Alta",'Mapa final'!$AA$25="Catastrófico"),CONCATENATE("R3C",'Mapa final'!$O$25),"")</f>
        <v/>
      </c>
      <c r="AL8" s="70" t="str">
        <f>IF(AND('Mapa final'!$Y$26="Muy Alta",'Mapa final'!$AA$26="Catastrófico"),CONCATENATE("R3C",'Mapa final'!$O$26),"")</f>
        <v/>
      </c>
      <c r="AM8" s="71" t="str">
        <f>IF(AND('Mapa final'!$Y$27="Muy Alta",'Mapa final'!$AA$27="Catastrófico"),CONCATENATE("R3C",'Mapa final'!$O$27),"")</f>
        <v/>
      </c>
      <c r="AN8" s="97"/>
      <c r="AO8" s="351"/>
      <c r="AP8" s="352"/>
      <c r="AQ8" s="352"/>
      <c r="AR8" s="352"/>
      <c r="AS8" s="352"/>
      <c r="AT8" s="353"/>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row>
    <row r="9" spans="1:91" ht="15" customHeight="1" x14ac:dyDescent="0.25">
      <c r="A9" s="97"/>
      <c r="B9" s="246"/>
      <c r="C9" s="246"/>
      <c r="D9" s="247"/>
      <c r="E9" s="345"/>
      <c r="F9" s="344"/>
      <c r="G9" s="344"/>
      <c r="H9" s="344"/>
      <c r="I9" s="360"/>
      <c r="J9" s="66" t="str">
        <f>IF(AND('Mapa final'!$Y$28="Muy Alta",'Mapa final'!$AA$28="Leve"),CONCATENATE("R4C",'Mapa final'!$O$28),"")</f>
        <v/>
      </c>
      <c r="K9" s="67" t="str">
        <f>IF(AND('Mapa final'!$Y$29="Muy Alta",'Mapa final'!$AA$29="Leve"),CONCATENATE("R4C",'Mapa final'!$O$29),"")</f>
        <v/>
      </c>
      <c r="L9" s="67" t="str">
        <f>IF(AND('Mapa final'!$Y$30="Muy Alta",'Mapa final'!$AA$30="Leve"),CONCATENATE("R4C",'Mapa final'!$O$30),"")</f>
        <v/>
      </c>
      <c r="M9" s="67" t="str">
        <f>IF(AND('Mapa final'!$Y$31="Muy Alta",'Mapa final'!$AA$31="Leve"),CONCATENATE("R4C",'Mapa final'!$O$31),"")</f>
        <v/>
      </c>
      <c r="N9" s="67" t="str">
        <f>IF(AND('Mapa final'!$Y$32="Muy Alta",'Mapa final'!$AA$32="Leve"),CONCATENATE("R4C",'Mapa final'!$O$32),"")</f>
        <v/>
      </c>
      <c r="O9" s="68" t="str">
        <f>IF(AND('Mapa final'!$Y$33="Muy Alta",'Mapa final'!$AA$33="Leve"),CONCATENATE("R4C",'Mapa final'!$O$33),"")</f>
        <v/>
      </c>
      <c r="P9" s="66" t="str">
        <f>IF(AND('Mapa final'!$Y$28="Muy Alta",'Mapa final'!$AA$28="Menor"),CONCATENATE("R4C",'Mapa final'!$O$28),"")</f>
        <v/>
      </c>
      <c r="Q9" s="67" t="str">
        <f>IF(AND('Mapa final'!$Y$29="Muy Alta",'Mapa final'!$AA$29="Menor"),CONCATENATE("R4C",'Mapa final'!$O$29),"")</f>
        <v/>
      </c>
      <c r="R9" s="67" t="str">
        <f>IF(AND('Mapa final'!$Y$30="Muy Alta",'Mapa final'!$AA$30="Menor"),CONCATENATE("R4C",'Mapa final'!$O$30),"")</f>
        <v/>
      </c>
      <c r="S9" s="67" t="str">
        <f>IF(AND('Mapa final'!$Y$31="Muy Alta",'Mapa final'!$AA$31="Menor"),CONCATENATE("R4C",'Mapa final'!$O$31),"")</f>
        <v/>
      </c>
      <c r="T9" s="67" t="str">
        <f>IF(AND('Mapa final'!$Y$32="Muy Alta",'Mapa final'!$AA$32="Menor"),CONCATENATE("R4C",'Mapa final'!$O$32),"")</f>
        <v/>
      </c>
      <c r="U9" s="68" t="str">
        <f>IF(AND('Mapa final'!$Y$33="Muy Alta",'Mapa final'!$AA$33="Menor"),CONCATENATE("R4C",'Mapa final'!$O$33),"")</f>
        <v/>
      </c>
      <c r="V9" s="66" t="str">
        <f>IF(AND('Mapa final'!$Y$28="Muy Alta",'Mapa final'!$AA$28="Moderado"),CONCATENATE("R4C",'Mapa final'!$O$28),"")</f>
        <v/>
      </c>
      <c r="W9" s="67" t="str">
        <f>IF(AND('Mapa final'!$Y$29="Muy Alta",'Mapa final'!$AA$29="Moderado"),CONCATENATE("R4C",'Mapa final'!$O$29),"")</f>
        <v/>
      </c>
      <c r="X9" s="67" t="str">
        <f>IF(AND('Mapa final'!$Y$30="Muy Alta",'Mapa final'!$AA$30="Moderado"),CONCATENATE("R4C",'Mapa final'!$O$30),"")</f>
        <v/>
      </c>
      <c r="Y9" s="67" t="str">
        <f>IF(AND('Mapa final'!$Y$31="Muy Alta",'Mapa final'!$AA$31="Moderado"),CONCATENATE("R4C",'Mapa final'!$O$31),"")</f>
        <v/>
      </c>
      <c r="Z9" s="67" t="str">
        <f>IF(AND('Mapa final'!$Y$32="Muy Alta",'Mapa final'!$AA$32="Moderado"),CONCATENATE("R4C",'Mapa final'!$O$32),"")</f>
        <v/>
      </c>
      <c r="AA9" s="68" t="str">
        <f>IF(AND('Mapa final'!$Y$33="Muy Alta",'Mapa final'!$AA$33="Moderado"),CONCATENATE("R4C",'Mapa final'!$O$33),"")</f>
        <v/>
      </c>
      <c r="AB9" s="66" t="str">
        <f>IF(AND('Mapa final'!$Y$28="Muy Alta",'Mapa final'!$AA$28="Mayor"),CONCATENATE("R4C",'Mapa final'!$O$28),"")</f>
        <v/>
      </c>
      <c r="AC9" s="67" t="str">
        <f>IF(AND('Mapa final'!$Y$29="Muy Alta",'Mapa final'!$AA$29="Mayor"),CONCATENATE("R4C",'Mapa final'!$O$29),"")</f>
        <v/>
      </c>
      <c r="AD9" s="67" t="str">
        <f>IF(AND('Mapa final'!$Y$30="Muy Alta",'Mapa final'!$AA$30="Mayor"),CONCATENATE("R4C",'Mapa final'!$O$30),"")</f>
        <v/>
      </c>
      <c r="AE9" s="67" t="str">
        <f>IF(AND('Mapa final'!$Y$31="Muy Alta",'Mapa final'!$AA$31="Mayor"),CONCATENATE("R4C",'Mapa final'!$O$31),"")</f>
        <v/>
      </c>
      <c r="AF9" s="67" t="str">
        <f>IF(AND('Mapa final'!$Y$32="Muy Alta",'Mapa final'!$AA$32="Mayor"),CONCATENATE("R4C",'Mapa final'!$O$32),"")</f>
        <v/>
      </c>
      <c r="AG9" s="68" t="str">
        <f>IF(AND('Mapa final'!$Y$33="Muy Alta",'Mapa final'!$AA$33="Mayor"),CONCATENATE("R4C",'Mapa final'!$O$33),"")</f>
        <v/>
      </c>
      <c r="AH9" s="69" t="str">
        <f>IF(AND('Mapa final'!$Y$28="Muy Alta",'Mapa final'!$AA$28="Catastrófico"),CONCATENATE("R4C",'Mapa final'!$O$28),"")</f>
        <v/>
      </c>
      <c r="AI9" s="70" t="str">
        <f>IF(AND('Mapa final'!$Y$29="Muy Alta",'Mapa final'!$AA$29="Catastrófico"),CONCATENATE("R4C",'Mapa final'!$O$29),"")</f>
        <v/>
      </c>
      <c r="AJ9" s="70" t="str">
        <f>IF(AND('Mapa final'!$Y$30="Muy Alta",'Mapa final'!$AA$30="Catastrófico"),CONCATENATE("R4C",'Mapa final'!$O$30),"")</f>
        <v/>
      </c>
      <c r="AK9" s="70" t="str">
        <f>IF(AND('Mapa final'!$Y$31="Muy Alta",'Mapa final'!$AA$31="Catastrófico"),CONCATENATE("R4C",'Mapa final'!$O$31),"")</f>
        <v/>
      </c>
      <c r="AL9" s="70" t="str">
        <f>IF(AND('Mapa final'!$Y$32="Muy Alta",'Mapa final'!$AA$32="Catastrófico"),CONCATENATE("R4C",'Mapa final'!$O$32),"")</f>
        <v/>
      </c>
      <c r="AM9" s="71" t="str">
        <f>IF(AND('Mapa final'!$Y$33="Muy Alta",'Mapa final'!$AA$33="Catastrófico"),CONCATENATE("R4C",'Mapa final'!$O$33),"")</f>
        <v/>
      </c>
      <c r="AN9" s="97"/>
      <c r="AO9" s="351"/>
      <c r="AP9" s="352"/>
      <c r="AQ9" s="352"/>
      <c r="AR9" s="352"/>
      <c r="AS9" s="352"/>
      <c r="AT9" s="353"/>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row>
    <row r="10" spans="1:91" ht="15" customHeight="1" x14ac:dyDescent="0.25">
      <c r="A10" s="97"/>
      <c r="B10" s="246"/>
      <c r="C10" s="246"/>
      <c r="D10" s="247"/>
      <c r="E10" s="345"/>
      <c r="F10" s="344"/>
      <c r="G10" s="344"/>
      <c r="H10" s="344"/>
      <c r="I10" s="360"/>
      <c r="J10" s="66" t="str">
        <f>IF(AND('Mapa final'!$Y$34="Muy Alta",'Mapa final'!$AA$34="Leve"),CONCATENATE("R5C",'Mapa final'!$O$34),"")</f>
        <v/>
      </c>
      <c r="K10" s="67" t="str">
        <f>IF(AND('Mapa final'!$Y$35="Muy Alta",'Mapa final'!$AA$35="Leve"),CONCATENATE("R5C",'Mapa final'!$O$35),"")</f>
        <v/>
      </c>
      <c r="L10" s="67" t="str">
        <f>IF(AND('Mapa final'!$Y$36="Muy Alta",'Mapa final'!$AA$36="Leve"),CONCATENATE("R5C",'Mapa final'!$O$36),"")</f>
        <v/>
      </c>
      <c r="M10" s="67" t="str">
        <f>IF(AND('Mapa final'!$Y$37="Muy Alta",'Mapa final'!$AA$37="Leve"),CONCATENATE("R5C",'Mapa final'!$O$37),"")</f>
        <v/>
      </c>
      <c r="N10" s="67" t="str">
        <f>IF(AND('Mapa final'!$Y$38="Muy Alta",'Mapa final'!$AA$38="Leve"),CONCATENATE("R5C",'Mapa final'!$O$38),"")</f>
        <v/>
      </c>
      <c r="O10" s="68" t="str">
        <f>IF(AND('Mapa final'!$Y$39="Muy Alta",'Mapa final'!$AA$39="Leve"),CONCATENATE("R5C",'Mapa final'!$O$39),"")</f>
        <v/>
      </c>
      <c r="P10" s="66" t="str">
        <f>IF(AND('Mapa final'!$Y$34="Muy Alta",'Mapa final'!$AA$34="Menor"),CONCATENATE("R5C",'Mapa final'!$O$34),"")</f>
        <v/>
      </c>
      <c r="Q10" s="67" t="str">
        <f>IF(AND('Mapa final'!$Y$35="Muy Alta",'Mapa final'!$AA$35="Menor"),CONCATENATE("R5C",'Mapa final'!$O$35),"")</f>
        <v/>
      </c>
      <c r="R10" s="67" t="str">
        <f>IF(AND('Mapa final'!$Y$36="Muy Alta",'Mapa final'!$AA$36="Menor"),CONCATENATE("R5C",'Mapa final'!$O$36),"")</f>
        <v/>
      </c>
      <c r="S10" s="67" t="str">
        <f>IF(AND('Mapa final'!$Y$37="Muy Alta",'Mapa final'!$AA$37="Menor"),CONCATENATE("R5C",'Mapa final'!$O$37),"")</f>
        <v/>
      </c>
      <c r="T10" s="67" t="str">
        <f>IF(AND('Mapa final'!$Y$38="Muy Alta",'Mapa final'!$AA$38="Menor"),CONCATENATE("R5C",'Mapa final'!$O$38),"")</f>
        <v/>
      </c>
      <c r="U10" s="68" t="str">
        <f>IF(AND('Mapa final'!$Y$39="Muy Alta",'Mapa final'!$AA$39="Menor"),CONCATENATE("R5C",'Mapa final'!$O$39),"")</f>
        <v/>
      </c>
      <c r="V10" s="66" t="str">
        <f>IF(AND('Mapa final'!$Y$34="Muy Alta",'Mapa final'!$AA$34="Moderado"),CONCATENATE("R5C",'Mapa final'!$O$34),"")</f>
        <v/>
      </c>
      <c r="W10" s="67" t="str">
        <f>IF(AND('Mapa final'!$Y$35="Muy Alta",'Mapa final'!$AA$35="Moderado"),CONCATENATE("R5C",'Mapa final'!$O$35),"")</f>
        <v/>
      </c>
      <c r="X10" s="67" t="str">
        <f>IF(AND('Mapa final'!$Y$36="Muy Alta",'Mapa final'!$AA$36="Moderado"),CONCATENATE("R5C",'Mapa final'!$O$36),"")</f>
        <v/>
      </c>
      <c r="Y10" s="67" t="str">
        <f>IF(AND('Mapa final'!$Y$37="Muy Alta",'Mapa final'!$AA$37="Moderado"),CONCATENATE("R5C",'Mapa final'!$O$37),"")</f>
        <v/>
      </c>
      <c r="Z10" s="67" t="str">
        <f>IF(AND('Mapa final'!$Y$38="Muy Alta",'Mapa final'!$AA$38="Moderado"),CONCATENATE("R5C",'Mapa final'!$O$38),"")</f>
        <v/>
      </c>
      <c r="AA10" s="68" t="str">
        <f>IF(AND('Mapa final'!$Y$39="Muy Alta",'Mapa final'!$AA$39="Moderado"),CONCATENATE("R5C",'Mapa final'!$O$39),"")</f>
        <v/>
      </c>
      <c r="AB10" s="66" t="str">
        <f>IF(AND('Mapa final'!$Y$34="Muy Alta",'Mapa final'!$AA$34="Mayor"),CONCATENATE("R5C",'Mapa final'!$O$34),"")</f>
        <v/>
      </c>
      <c r="AC10" s="67" t="str">
        <f>IF(AND('Mapa final'!$Y$35="Muy Alta",'Mapa final'!$AA$35="Mayor"),CONCATENATE("R5C",'Mapa final'!$O$35),"")</f>
        <v/>
      </c>
      <c r="AD10" s="67" t="str">
        <f>IF(AND('Mapa final'!$Y$36="Muy Alta",'Mapa final'!$AA$36="Mayor"),CONCATENATE("R5C",'Mapa final'!$O$36),"")</f>
        <v/>
      </c>
      <c r="AE10" s="67" t="str">
        <f>IF(AND('Mapa final'!$Y$37="Muy Alta",'Mapa final'!$AA$37="Mayor"),CONCATENATE("R5C",'Mapa final'!$O$37),"")</f>
        <v/>
      </c>
      <c r="AF10" s="67" t="str">
        <f>IF(AND('Mapa final'!$Y$38="Muy Alta",'Mapa final'!$AA$38="Mayor"),CONCATENATE("R5C",'Mapa final'!$O$38),"")</f>
        <v/>
      </c>
      <c r="AG10" s="68" t="str">
        <f>IF(AND('Mapa final'!$Y$39="Muy Alta",'Mapa final'!$AA$39="Mayor"),CONCATENATE("R5C",'Mapa final'!$O$39),"")</f>
        <v/>
      </c>
      <c r="AH10" s="69" t="str">
        <f>IF(AND('Mapa final'!$Y$34="Muy Alta",'Mapa final'!$AA$34="Catastrófico"),CONCATENATE("R5C",'Mapa final'!$O$34),"")</f>
        <v/>
      </c>
      <c r="AI10" s="70" t="str">
        <f>IF(AND('Mapa final'!$Y$35="Muy Alta",'Mapa final'!$AA$35="Catastrófico"),CONCATENATE("R5C",'Mapa final'!$O$35),"")</f>
        <v/>
      </c>
      <c r="AJ10" s="70" t="str">
        <f>IF(AND('Mapa final'!$Y$36="Muy Alta",'Mapa final'!$AA$36="Catastrófico"),CONCATENATE("R5C",'Mapa final'!$O$36),"")</f>
        <v/>
      </c>
      <c r="AK10" s="70" t="str">
        <f>IF(AND('Mapa final'!$Y$37="Muy Alta",'Mapa final'!$AA$37="Catastrófico"),CONCATENATE("R5C",'Mapa final'!$O$37),"")</f>
        <v/>
      </c>
      <c r="AL10" s="70" t="str">
        <f>IF(AND('Mapa final'!$Y$38="Muy Alta",'Mapa final'!$AA$38="Catastrófico"),CONCATENATE("R5C",'Mapa final'!$O$38),"")</f>
        <v/>
      </c>
      <c r="AM10" s="71" t="str">
        <f>IF(AND('Mapa final'!$Y$39="Muy Alta",'Mapa final'!$AA$39="Catastrófico"),CONCATENATE("R5C",'Mapa final'!$O$39),"")</f>
        <v/>
      </c>
      <c r="AN10" s="97"/>
      <c r="AO10" s="351"/>
      <c r="AP10" s="352"/>
      <c r="AQ10" s="352"/>
      <c r="AR10" s="352"/>
      <c r="AS10" s="352"/>
      <c r="AT10" s="353"/>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row>
    <row r="11" spans="1:91" ht="15" customHeight="1" x14ac:dyDescent="0.25">
      <c r="A11" s="97"/>
      <c r="B11" s="246"/>
      <c r="C11" s="246"/>
      <c r="D11" s="247"/>
      <c r="E11" s="345"/>
      <c r="F11" s="344"/>
      <c r="G11" s="344"/>
      <c r="H11" s="344"/>
      <c r="I11" s="360"/>
      <c r="J11" s="66" t="str">
        <f>IF(AND('Mapa final'!$Y$40="Muy Alta",'Mapa final'!$AA$40="Leve"),CONCATENATE("R6C",'Mapa final'!$O$40),"")</f>
        <v/>
      </c>
      <c r="K11" s="67" t="str">
        <f>IF(AND('Mapa final'!$Y$41="Muy Alta",'Mapa final'!$AA$41="Leve"),CONCATENATE("R6C",'Mapa final'!$O$41),"")</f>
        <v/>
      </c>
      <c r="L11" s="67" t="str">
        <f>IF(AND('Mapa final'!$Y$42="Muy Alta",'Mapa final'!$AA$42="Leve"),CONCATENATE("R6C",'Mapa final'!$O$42),"")</f>
        <v/>
      </c>
      <c r="M11" s="67" t="str">
        <f>IF(AND('Mapa final'!$Y$43="Muy Alta",'Mapa final'!$AA$43="Leve"),CONCATENATE("R6C",'Mapa final'!$O$43),"")</f>
        <v/>
      </c>
      <c r="N11" s="67" t="str">
        <f>IF(AND('Mapa final'!$Y$44="Muy Alta",'Mapa final'!$AA$44="Leve"),CONCATENATE("R6C",'Mapa final'!$O$44),"")</f>
        <v/>
      </c>
      <c r="O11" s="68" t="str">
        <f>IF(AND('Mapa final'!$Y$45="Muy Alta",'Mapa final'!$AA$45="Leve"),CONCATENATE("R6C",'Mapa final'!$O$45),"")</f>
        <v/>
      </c>
      <c r="P11" s="66" t="str">
        <f>IF(AND('Mapa final'!$Y$40="Muy Alta",'Mapa final'!$AA$40="Menor"),CONCATENATE("R6C",'Mapa final'!$O$40),"")</f>
        <v/>
      </c>
      <c r="Q11" s="67" t="str">
        <f>IF(AND('Mapa final'!$Y$41="Muy Alta",'Mapa final'!$AA$41="Menor"),CONCATENATE("R6C",'Mapa final'!$O$41),"")</f>
        <v/>
      </c>
      <c r="R11" s="67" t="str">
        <f>IF(AND('Mapa final'!$Y$42="Muy Alta",'Mapa final'!$AA$42="Menor"),CONCATENATE("R6C",'Mapa final'!$O$42),"")</f>
        <v/>
      </c>
      <c r="S11" s="67" t="str">
        <f>IF(AND('Mapa final'!$Y$43="Muy Alta",'Mapa final'!$AA$43="Menor"),CONCATENATE("R6C",'Mapa final'!$O$43),"")</f>
        <v/>
      </c>
      <c r="T11" s="67" t="str">
        <f>IF(AND('Mapa final'!$Y$44="Muy Alta",'Mapa final'!$AA$44="Menor"),CONCATENATE("R6C",'Mapa final'!$O$44),"")</f>
        <v/>
      </c>
      <c r="U11" s="68" t="str">
        <f>IF(AND('Mapa final'!$Y$45="Muy Alta",'Mapa final'!$AA$45="Menor"),CONCATENATE("R6C",'Mapa final'!$O$45),"")</f>
        <v/>
      </c>
      <c r="V11" s="66" t="str">
        <f>IF(AND('Mapa final'!$Y$40="Muy Alta",'Mapa final'!$AA$40="Moderado"),CONCATENATE("R6C",'Mapa final'!$O$40),"")</f>
        <v/>
      </c>
      <c r="W11" s="67" t="str">
        <f>IF(AND('Mapa final'!$Y$41="Muy Alta",'Mapa final'!$AA$41="Moderado"),CONCATENATE("R6C",'Mapa final'!$O$41),"")</f>
        <v/>
      </c>
      <c r="X11" s="67" t="str">
        <f>IF(AND('Mapa final'!$Y$42="Muy Alta",'Mapa final'!$AA$42="Moderado"),CONCATENATE("R6C",'Mapa final'!$O$42),"")</f>
        <v/>
      </c>
      <c r="Y11" s="67" t="str">
        <f>IF(AND('Mapa final'!$Y$43="Muy Alta",'Mapa final'!$AA$43="Moderado"),CONCATENATE("R6C",'Mapa final'!$O$43),"")</f>
        <v/>
      </c>
      <c r="Z11" s="67" t="str">
        <f>IF(AND('Mapa final'!$Y$44="Muy Alta",'Mapa final'!$AA$44="Moderado"),CONCATENATE("R6C",'Mapa final'!$O$44),"")</f>
        <v/>
      </c>
      <c r="AA11" s="68" t="str">
        <f>IF(AND('Mapa final'!$Y$45="Muy Alta",'Mapa final'!$AA$45="Moderado"),CONCATENATE("R6C",'Mapa final'!$O$45),"")</f>
        <v/>
      </c>
      <c r="AB11" s="66" t="str">
        <f>IF(AND('Mapa final'!$Y$40="Muy Alta",'Mapa final'!$AA$40="Mayor"),CONCATENATE("R6C",'Mapa final'!$O$40),"")</f>
        <v/>
      </c>
      <c r="AC11" s="67" t="str">
        <f>IF(AND('Mapa final'!$Y$41="Muy Alta",'Mapa final'!$AA$41="Mayor"),CONCATENATE("R6C",'Mapa final'!$O$41),"")</f>
        <v/>
      </c>
      <c r="AD11" s="67" t="str">
        <f>IF(AND('Mapa final'!$Y$42="Muy Alta",'Mapa final'!$AA$42="Mayor"),CONCATENATE("R6C",'Mapa final'!$O$42),"")</f>
        <v/>
      </c>
      <c r="AE11" s="67" t="str">
        <f>IF(AND('Mapa final'!$Y$43="Muy Alta",'Mapa final'!$AA$43="Mayor"),CONCATENATE("R6C",'Mapa final'!$O$43),"")</f>
        <v/>
      </c>
      <c r="AF11" s="67" t="str">
        <f>IF(AND('Mapa final'!$Y$44="Muy Alta",'Mapa final'!$AA$44="Mayor"),CONCATENATE("R6C",'Mapa final'!$O$44),"")</f>
        <v/>
      </c>
      <c r="AG11" s="68" t="str">
        <f>IF(AND('Mapa final'!$Y$45="Muy Alta",'Mapa final'!$AA$45="Mayor"),CONCATENATE("R6C",'Mapa final'!$O$45),"")</f>
        <v/>
      </c>
      <c r="AH11" s="69" t="str">
        <f>IF(AND('Mapa final'!$Y$40="Muy Alta",'Mapa final'!$AA$40="Catastrófico"),CONCATENATE("R6C",'Mapa final'!$O$40),"")</f>
        <v/>
      </c>
      <c r="AI11" s="70" t="str">
        <f>IF(AND('Mapa final'!$Y$41="Muy Alta",'Mapa final'!$AA$41="Catastrófico"),CONCATENATE("R6C",'Mapa final'!$O$41),"")</f>
        <v/>
      </c>
      <c r="AJ11" s="70" t="str">
        <f>IF(AND('Mapa final'!$Y$42="Muy Alta",'Mapa final'!$AA$42="Catastrófico"),CONCATENATE("R6C",'Mapa final'!$O$42),"")</f>
        <v/>
      </c>
      <c r="AK11" s="70" t="str">
        <f>IF(AND('Mapa final'!$Y$43="Muy Alta",'Mapa final'!$AA$43="Catastrófico"),CONCATENATE("R6C",'Mapa final'!$O$43),"")</f>
        <v/>
      </c>
      <c r="AL11" s="70" t="str">
        <f>IF(AND('Mapa final'!$Y$44="Muy Alta",'Mapa final'!$AA$44="Catastrófico"),CONCATENATE("R6C",'Mapa final'!$O$44),"")</f>
        <v/>
      </c>
      <c r="AM11" s="71" t="str">
        <f>IF(AND('Mapa final'!$Y$45="Muy Alta",'Mapa final'!$AA$45="Catastrófico"),CONCATENATE("R6C",'Mapa final'!$O$45),"")</f>
        <v/>
      </c>
      <c r="AN11" s="97"/>
      <c r="AO11" s="351"/>
      <c r="AP11" s="352"/>
      <c r="AQ11" s="352"/>
      <c r="AR11" s="352"/>
      <c r="AS11" s="352"/>
      <c r="AT11" s="353"/>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row>
    <row r="12" spans="1:91" ht="15" customHeight="1" x14ac:dyDescent="0.25">
      <c r="A12" s="97"/>
      <c r="B12" s="246"/>
      <c r="C12" s="246"/>
      <c r="D12" s="247"/>
      <c r="E12" s="345"/>
      <c r="F12" s="344"/>
      <c r="G12" s="344"/>
      <c r="H12" s="344"/>
      <c r="I12" s="360"/>
      <c r="J12" s="66" t="str">
        <f>IF(AND('Mapa final'!$Y$46="Muy Alta",'Mapa final'!$AA$46="Leve"),CONCATENATE("R7C",'Mapa final'!$O$46),"")</f>
        <v/>
      </c>
      <c r="K12" s="67" t="str">
        <f>IF(AND('Mapa final'!$Y$47="Muy Alta",'Mapa final'!$AA$47="Leve"),CONCATENATE("R7C",'Mapa final'!$O$47),"")</f>
        <v/>
      </c>
      <c r="L12" s="67" t="str">
        <f>IF(AND('Mapa final'!$Y$48="Muy Alta",'Mapa final'!$AA$48="Leve"),CONCATENATE("R7C",'Mapa final'!$O$48),"")</f>
        <v/>
      </c>
      <c r="M12" s="67" t="str">
        <f>IF(AND('Mapa final'!$Y$49="Muy Alta",'Mapa final'!$AA$49="Leve"),CONCATENATE("R7C",'Mapa final'!$O$49),"")</f>
        <v/>
      </c>
      <c r="N12" s="67" t="str">
        <f>IF(AND('Mapa final'!$Y$50="Muy Alta",'Mapa final'!$AA$50="Leve"),CONCATENATE("R7C",'Mapa final'!$O$50),"")</f>
        <v/>
      </c>
      <c r="O12" s="68" t="str">
        <f>IF(AND('Mapa final'!$Y$51="Muy Alta",'Mapa final'!$AA$51="Leve"),CONCATENATE("R7C",'Mapa final'!$O$51),"")</f>
        <v/>
      </c>
      <c r="P12" s="66" t="str">
        <f>IF(AND('Mapa final'!$Y$46="Muy Alta",'Mapa final'!$AA$46="Menor"),CONCATENATE("R7C",'Mapa final'!$O$46),"")</f>
        <v/>
      </c>
      <c r="Q12" s="67" t="str">
        <f>IF(AND('Mapa final'!$Y$47="Muy Alta",'Mapa final'!$AA$47="Menor"),CONCATENATE("R7C",'Mapa final'!$O$47),"")</f>
        <v/>
      </c>
      <c r="R12" s="67" t="str">
        <f>IF(AND('Mapa final'!$Y$48="Muy Alta",'Mapa final'!$AA$48="Menor"),CONCATENATE("R7C",'Mapa final'!$O$48),"")</f>
        <v/>
      </c>
      <c r="S12" s="67" t="str">
        <f>IF(AND('Mapa final'!$Y$49="Muy Alta",'Mapa final'!$AA$49="Menor"),CONCATENATE("R7C",'Mapa final'!$O$49),"")</f>
        <v/>
      </c>
      <c r="T12" s="67" t="str">
        <f>IF(AND('Mapa final'!$Y$50="Muy Alta",'Mapa final'!$AA$50="Menor"),CONCATENATE("R7C",'Mapa final'!$O$50),"")</f>
        <v/>
      </c>
      <c r="U12" s="68" t="str">
        <f>IF(AND('Mapa final'!$Y$51="Muy Alta",'Mapa final'!$AA$51="Menor"),CONCATENATE("R7C",'Mapa final'!$O$51),"")</f>
        <v/>
      </c>
      <c r="V12" s="66" t="str">
        <f>IF(AND('Mapa final'!$Y$46="Muy Alta",'Mapa final'!$AA$46="Moderado"),CONCATENATE("R7C",'Mapa final'!$O$46),"")</f>
        <v/>
      </c>
      <c r="W12" s="67" t="str">
        <f>IF(AND('Mapa final'!$Y$47="Muy Alta",'Mapa final'!$AA$47="Moderado"),CONCATENATE("R7C",'Mapa final'!$O$47),"")</f>
        <v/>
      </c>
      <c r="X12" s="67" t="str">
        <f>IF(AND('Mapa final'!$Y$48="Muy Alta",'Mapa final'!$AA$48="Moderado"),CONCATENATE("R7C",'Mapa final'!$O$48),"")</f>
        <v/>
      </c>
      <c r="Y12" s="67" t="str">
        <f>IF(AND('Mapa final'!$Y$49="Muy Alta",'Mapa final'!$AA$49="Moderado"),CONCATENATE("R7C",'Mapa final'!$O$49),"")</f>
        <v/>
      </c>
      <c r="Z12" s="67" t="str">
        <f>IF(AND('Mapa final'!$Y$50="Muy Alta",'Mapa final'!$AA$50="Moderado"),CONCATENATE("R7C",'Mapa final'!$O$50),"")</f>
        <v/>
      </c>
      <c r="AA12" s="68" t="str">
        <f>IF(AND('Mapa final'!$Y$51="Muy Alta",'Mapa final'!$AA$51="Moderado"),CONCATENATE("R7C",'Mapa final'!$O$51),"")</f>
        <v/>
      </c>
      <c r="AB12" s="66" t="str">
        <f>IF(AND('Mapa final'!$Y$46="Muy Alta",'Mapa final'!$AA$46="Mayor"),CONCATENATE("R7C",'Mapa final'!$O$46),"")</f>
        <v/>
      </c>
      <c r="AC12" s="67" t="str">
        <f>IF(AND('Mapa final'!$Y$47="Muy Alta",'Mapa final'!$AA$47="Mayor"),CONCATENATE("R7C",'Mapa final'!$O$47),"")</f>
        <v/>
      </c>
      <c r="AD12" s="67" t="str">
        <f>IF(AND('Mapa final'!$Y$48="Muy Alta",'Mapa final'!$AA$48="Mayor"),CONCATENATE("R7C",'Mapa final'!$O$48),"")</f>
        <v/>
      </c>
      <c r="AE12" s="67" t="str">
        <f>IF(AND('Mapa final'!$Y$49="Muy Alta",'Mapa final'!$AA$49="Mayor"),CONCATENATE("R7C",'Mapa final'!$O$49),"")</f>
        <v/>
      </c>
      <c r="AF12" s="67" t="str">
        <f>IF(AND('Mapa final'!$Y$50="Muy Alta",'Mapa final'!$AA$50="Mayor"),CONCATENATE("R7C",'Mapa final'!$O$50),"")</f>
        <v/>
      </c>
      <c r="AG12" s="68" t="str">
        <f>IF(AND('Mapa final'!$Y$51="Muy Alta",'Mapa final'!$AA$51="Mayor"),CONCATENATE("R7C",'Mapa final'!$O$51),"")</f>
        <v/>
      </c>
      <c r="AH12" s="69" t="str">
        <f>IF(AND('Mapa final'!$Y$46="Muy Alta",'Mapa final'!$AA$46="Catastrófico"),CONCATENATE("R7C",'Mapa final'!$O$46),"")</f>
        <v/>
      </c>
      <c r="AI12" s="70" t="str">
        <f>IF(AND('Mapa final'!$Y$47="Muy Alta",'Mapa final'!$AA$47="Catastrófico"),CONCATENATE("R7C",'Mapa final'!$O$47),"")</f>
        <v/>
      </c>
      <c r="AJ12" s="70" t="str">
        <f>IF(AND('Mapa final'!$Y$48="Muy Alta",'Mapa final'!$AA$48="Catastrófico"),CONCATENATE("R7C",'Mapa final'!$O$48),"")</f>
        <v/>
      </c>
      <c r="AK12" s="70" t="str">
        <f>IF(AND('Mapa final'!$Y$49="Muy Alta",'Mapa final'!$AA$49="Catastrófico"),CONCATENATE("R7C",'Mapa final'!$O$49),"")</f>
        <v/>
      </c>
      <c r="AL12" s="70" t="str">
        <f>IF(AND('Mapa final'!$Y$50="Muy Alta",'Mapa final'!$AA$50="Catastrófico"),CONCATENATE("R7C",'Mapa final'!$O$50),"")</f>
        <v/>
      </c>
      <c r="AM12" s="71" t="str">
        <f>IF(AND('Mapa final'!$Y$51="Muy Alta",'Mapa final'!$AA$51="Catastrófico"),CONCATENATE("R7C",'Mapa final'!$O$51),"")</f>
        <v/>
      </c>
      <c r="AN12" s="97"/>
      <c r="AO12" s="351"/>
      <c r="AP12" s="352"/>
      <c r="AQ12" s="352"/>
      <c r="AR12" s="352"/>
      <c r="AS12" s="352"/>
      <c r="AT12" s="353"/>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row>
    <row r="13" spans="1:91" ht="15" customHeight="1" x14ac:dyDescent="0.25">
      <c r="A13" s="97"/>
      <c r="B13" s="246"/>
      <c r="C13" s="246"/>
      <c r="D13" s="247"/>
      <c r="E13" s="345"/>
      <c r="F13" s="344"/>
      <c r="G13" s="344"/>
      <c r="H13" s="344"/>
      <c r="I13" s="360"/>
      <c r="J13" s="66" t="str">
        <f>IF(AND('Mapa final'!$Y$52="Muy Alta",'Mapa final'!$AA$52="Leve"),CONCATENATE("R8C",'Mapa final'!$O$52),"")</f>
        <v/>
      </c>
      <c r="K13" s="67" t="str">
        <f>IF(AND('Mapa final'!$Y$53="Muy Alta",'Mapa final'!$AA$53="Leve"),CONCATENATE("R8C",'Mapa final'!$O$53),"")</f>
        <v/>
      </c>
      <c r="L13" s="67" t="str">
        <f>IF(AND('Mapa final'!$Y$54="Muy Alta",'Mapa final'!$AA$54="Leve"),CONCATENATE("R8C",'Mapa final'!$O$54),"")</f>
        <v/>
      </c>
      <c r="M13" s="67" t="str">
        <f>IF(AND('Mapa final'!$Y$55="Muy Alta",'Mapa final'!$AA$55="Leve"),CONCATENATE("R8C",'Mapa final'!$O$55),"")</f>
        <v/>
      </c>
      <c r="N13" s="67" t="str">
        <f>IF(AND('Mapa final'!$Y$56="Muy Alta",'Mapa final'!$AA$56="Leve"),CONCATENATE("R8C",'Mapa final'!$O$56),"")</f>
        <v/>
      </c>
      <c r="O13" s="68" t="str">
        <f>IF(AND('Mapa final'!$Y$57="Muy Alta",'Mapa final'!$AA$57="Leve"),CONCATENATE("R8C",'Mapa final'!$O$57),"")</f>
        <v/>
      </c>
      <c r="P13" s="66" t="str">
        <f>IF(AND('Mapa final'!$Y$52="Muy Alta",'Mapa final'!$AA$52="Menor"),CONCATENATE("R8C",'Mapa final'!$O$52),"")</f>
        <v/>
      </c>
      <c r="Q13" s="67" t="str">
        <f>IF(AND('Mapa final'!$Y$53="Muy Alta",'Mapa final'!$AA$53="Menor"),CONCATENATE("R8C",'Mapa final'!$O$53),"")</f>
        <v/>
      </c>
      <c r="R13" s="67" t="str">
        <f>IF(AND('Mapa final'!$Y$54="Muy Alta",'Mapa final'!$AA$54="Menor"),CONCATENATE("R8C",'Mapa final'!$O$54),"")</f>
        <v/>
      </c>
      <c r="S13" s="67" t="str">
        <f>IF(AND('Mapa final'!$Y$55="Muy Alta",'Mapa final'!$AA$55="Menor"),CONCATENATE("R8C",'Mapa final'!$O$55),"")</f>
        <v/>
      </c>
      <c r="T13" s="67" t="str">
        <f>IF(AND('Mapa final'!$Y$56="Muy Alta",'Mapa final'!$AA$56="Menor"),CONCATENATE("R8C",'Mapa final'!$O$56),"")</f>
        <v/>
      </c>
      <c r="U13" s="68" t="str">
        <f>IF(AND('Mapa final'!$Y$57="Muy Alta",'Mapa final'!$AA$57="Menor"),CONCATENATE("R8C",'Mapa final'!$O$57),"")</f>
        <v/>
      </c>
      <c r="V13" s="66" t="str">
        <f>IF(AND('Mapa final'!$Y$52="Muy Alta",'Mapa final'!$AA$52="Moderado"),CONCATENATE("R8C",'Mapa final'!$O$52),"")</f>
        <v/>
      </c>
      <c r="W13" s="67" t="str">
        <f>IF(AND('Mapa final'!$Y$53="Muy Alta",'Mapa final'!$AA$53="Moderado"),CONCATENATE("R8C",'Mapa final'!$O$53),"")</f>
        <v/>
      </c>
      <c r="X13" s="67" t="str">
        <f>IF(AND('Mapa final'!$Y$54="Muy Alta",'Mapa final'!$AA$54="Moderado"),CONCATENATE("R8C",'Mapa final'!$O$54),"")</f>
        <v/>
      </c>
      <c r="Y13" s="67" t="str">
        <f>IF(AND('Mapa final'!$Y$55="Muy Alta",'Mapa final'!$AA$55="Moderado"),CONCATENATE("R8C",'Mapa final'!$O$55),"")</f>
        <v/>
      </c>
      <c r="Z13" s="67" t="str">
        <f>IF(AND('Mapa final'!$Y$56="Muy Alta",'Mapa final'!$AA$56="Moderado"),CONCATENATE("R8C",'Mapa final'!$O$56),"")</f>
        <v/>
      </c>
      <c r="AA13" s="68" t="str">
        <f>IF(AND('Mapa final'!$Y$57="Muy Alta",'Mapa final'!$AA$57="Moderado"),CONCATENATE("R8C",'Mapa final'!$O$57),"")</f>
        <v/>
      </c>
      <c r="AB13" s="66" t="str">
        <f>IF(AND('Mapa final'!$Y$52="Muy Alta",'Mapa final'!$AA$52="Mayor"),CONCATENATE("R8C",'Mapa final'!$O$52),"")</f>
        <v/>
      </c>
      <c r="AC13" s="67" t="str">
        <f>IF(AND('Mapa final'!$Y$53="Muy Alta",'Mapa final'!$AA$53="Mayor"),CONCATENATE("R8C",'Mapa final'!$O$53),"")</f>
        <v/>
      </c>
      <c r="AD13" s="67" t="str">
        <f>IF(AND('Mapa final'!$Y$54="Muy Alta",'Mapa final'!$AA$54="Mayor"),CONCATENATE("R8C",'Mapa final'!$O$54),"")</f>
        <v/>
      </c>
      <c r="AE13" s="67" t="str">
        <f>IF(AND('Mapa final'!$Y$55="Muy Alta",'Mapa final'!$AA$55="Mayor"),CONCATENATE("R8C",'Mapa final'!$O$55),"")</f>
        <v/>
      </c>
      <c r="AF13" s="67" t="str">
        <f>IF(AND('Mapa final'!$Y$56="Muy Alta",'Mapa final'!$AA$56="Mayor"),CONCATENATE("R8C",'Mapa final'!$O$56),"")</f>
        <v/>
      </c>
      <c r="AG13" s="68" t="str">
        <f>IF(AND('Mapa final'!$Y$57="Muy Alta",'Mapa final'!$AA$57="Mayor"),CONCATENATE("R8C",'Mapa final'!$O$57),"")</f>
        <v/>
      </c>
      <c r="AH13" s="69" t="str">
        <f>IF(AND('Mapa final'!$Y$52="Muy Alta",'Mapa final'!$AA$52="Catastrófico"),CONCATENATE("R8C",'Mapa final'!$O$52),"")</f>
        <v/>
      </c>
      <c r="AI13" s="70" t="str">
        <f>IF(AND('Mapa final'!$Y$53="Muy Alta",'Mapa final'!$AA$53="Catastrófico"),CONCATENATE("R8C",'Mapa final'!$O$53),"")</f>
        <v/>
      </c>
      <c r="AJ13" s="70" t="str">
        <f>IF(AND('Mapa final'!$Y$54="Muy Alta",'Mapa final'!$AA$54="Catastrófico"),CONCATENATE("R8C",'Mapa final'!$O$54),"")</f>
        <v/>
      </c>
      <c r="AK13" s="70" t="str">
        <f>IF(AND('Mapa final'!$Y$55="Muy Alta",'Mapa final'!$AA$55="Catastrófico"),CONCATENATE("R8C",'Mapa final'!$O$55),"")</f>
        <v/>
      </c>
      <c r="AL13" s="70" t="str">
        <f>IF(AND('Mapa final'!$Y$56="Muy Alta",'Mapa final'!$AA$56="Catastrófico"),CONCATENATE("R8C",'Mapa final'!$O$56),"")</f>
        <v/>
      </c>
      <c r="AM13" s="71" t="str">
        <f>IF(AND('Mapa final'!$Y$57="Muy Alta",'Mapa final'!$AA$57="Catastrófico"),CONCATENATE("R8C",'Mapa final'!$O$57),"")</f>
        <v/>
      </c>
      <c r="AN13" s="97"/>
      <c r="AO13" s="351"/>
      <c r="AP13" s="352"/>
      <c r="AQ13" s="352"/>
      <c r="AR13" s="352"/>
      <c r="AS13" s="352"/>
      <c r="AT13" s="353"/>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row>
    <row r="14" spans="1:91" ht="15" customHeight="1" x14ac:dyDescent="0.25">
      <c r="A14" s="97"/>
      <c r="B14" s="246"/>
      <c r="C14" s="246"/>
      <c r="D14" s="247"/>
      <c r="E14" s="345"/>
      <c r="F14" s="344"/>
      <c r="G14" s="344"/>
      <c r="H14" s="344"/>
      <c r="I14" s="360"/>
      <c r="J14" s="66" t="str">
        <f>IF(AND('Mapa final'!$Y$58="Muy Alta",'Mapa final'!$AA$58="Leve"),CONCATENATE("R9C",'Mapa final'!$O$58),"")</f>
        <v/>
      </c>
      <c r="K14" s="67" t="str">
        <f>IF(AND('Mapa final'!$Y$59="Muy Alta",'Mapa final'!$AA$59="Leve"),CONCATENATE("R9C",'Mapa final'!$O$59),"")</f>
        <v/>
      </c>
      <c r="L14" s="67" t="str">
        <f>IF(AND('Mapa final'!$Y$60="Muy Alta",'Mapa final'!$AA$60="Leve"),CONCATENATE("R9C",'Mapa final'!$O$60),"")</f>
        <v/>
      </c>
      <c r="M14" s="67" t="str">
        <f>IF(AND('Mapa final'!$Y$61="Muy Alta",'Mapa final'!$AA$61="Leve"),CONCATENATE("R9C",'Mapa final'!$O$61),"")</f>
        <v/>
      </c>
      <c r="N14" s="67" t="str">
        <f>IF(AND('Mapa final'!$Y$62="Muy Alta",'Mapa final'!$AA$62="Leve"),CONCATENATE("R9C",'Mapa final'!$O$62),"")</f>
        <v/>
      </c>
      <c r="O14" s="68" t="str">
        <f>IF(AND('Mapa final'!$Y$63="Muy Alta",'Mapa final'!$AA$63="Leve"),CONCATENATE("R9C",'Mapa final'!$O$63),"")</f>
        <v/>
      </c>
      <c r="P14" s="66" t="str">
        <f>IF(AND('Mapa final'!$Y$58="Muy Alta",'Mapa final'!$AA$58="Menor"),CONCATENATE("R9C",'Mapa final'!$O$58),"")</f>
        <v/>
      </c>
      <c r="Q14" s="67" t="str">
        <f>IF(AND('Mapa final'!$Y$59="Muy Alta",'Mapa final'!$AA$59="Menor"),CONCATENATE("R9C",'Mapa final'!$O$59),"")</f>
        <v/>
      </c>
      <c r="R14" s="67" t="str">
        <f>IF(AND('Mapa final'!$Y$60="Muy Alta",'Mapa final'!$AA$60="Menor"),CONCATENATE("R9C",'Mapa final'!$O$60),"")</f>
        <v/>
      </c>
      <c r="S14" s="67" t="str">
        <f>IF(AND('Mapa final'!$Y$61="Muy Alta",'Mapa final'!$AA$61="Menor"),CONCATENATE("R9C",'Mapa final'!$O$61),"")</f>
        <v/>
      </c>
      <c r="T14" s="67" t="str">
        <f>IF(AND('Mapa final'!$Y$62="Muy Alta",'Mapa final'!$AA$62="Menor"),CONCATENATE("R9C",'Mapa final'!$O$62),"")</f>
        <v/>
      </c>
      <c r="U14" s="68" t="str">
        <f>IF(AND('Mapa final'!$Y$63="Muy Alta",'Mapa final'!$AA$63="Menor"),CONCATENATE("R9C",'Mapa final'!$O$63),"")</f>
        <v/>
      </c>
      <c r="V14" s="66" t="str">
        <f>IF(AND('Mapa final'!$Y$58="Muy Alta",'Mapa final'!$AA$58="Moderado"),CONCATENATE("R9C",'Mapa final'!$O$58),"")</f>
        <v/>
      </c>
      <c r="W14" s="67" t="str">
        <f>IF(AND('Mapa final'!$Y$59="Muy Alta",'Mapa final'!$AA$59="Moderado"),CONCATENATE("R9C",'Mapa final'!$O$59),"")</f>
        <v/>
      </c>
      <c r="X14" s="67" t="str">
        <f>IF(AND('Mapa final'!$Y$60="Muy Alta",'Mapa final'!$AA$60="Moderado"),CONCATENATE("R9C",'Mapa final'!$O$60),"")</f>
        <v/>
      </c>
      <c r="Y14" s="67" t="str">
        <f>IF(AND('Mapa final'!$Y$61="Muy Alta",'Mapa final'!$AA$61="Moderado"),CONCATENATE("R9C",'Mapa final'!$O$61),"")</f>
        <v/>
      </c>
      <c r="Z14" s="67" t="str">
        <f>IF(AND('Mapa final'!$Y$62="Muy Alta",'Mapa final'!$AA$62="Moderado"),CONCATENATE("R9C",'Mapa final'!$O$62),"")</f>
        <v/>
      </c>
      <c r="AA14" s="68" t="str">
        <f>IF(AND('Mapa final'!$Y$63="Muy Alta",'Mapa final'!$AA$63="Moderado"),CONCATENATE("R9C",'Mapa final'!$O$63),"")</f>
        <v/>
      </c>
      <c r="AB14" s="66" t="str">
        <f>IF(AND('Mapa final'!$Y$58="Muy Alta",'Mapa final'!$AA$58="Mayor"),CONCATENATE("R9C",'Mapa final'!$O$58),"")</f>
        <v/>
      </c>
      <c r="AC14" s="67" t="str">
        <f>IF(AND('Mapa final'!$Y$59="Muy Alta",'Mapa final'!$AA$59="Mayor"),CONCATENATE("R9C",'Mapa final'!$O$59),"")</f>
        <v/>
      </c>
      <c r="AD14" s="67" t="str">
        <f>IF(AND('Mapa final'!$Y$60="Muy Alta",'Mapa final'!$AA$60="Mayor"),CONCATENATE("R9C",'Mapa final'!$O$60),"")</f>
        <v/>
      </c>
      <c r="AE14" s="67" t="str">
        <f>IF(AND('Mapa final'!$Y$61="Muy Alta",'Mapa final'!$AA$61="Mayor"),CONCATENATE("R9C",'Mapa final'!$O$61),"")</f>
        <v/>
      </c>
      <c r="AF14" s="67" t="str">
        <f>IF(AND('Mapa final'!$Y$62="Muy Alta",'Mapa final'!$AA$62="Mayor"),CONCATENATE("R9C",'Mapa final'!$O$62),"")</f>
        <v/>
      </c>
      <c r="AG14" s="68" t="str">
        <f>IF(AND('Mapa final'!$Y$63="Muy Alta",'Mapa final'!$AA$63="Mayor"),CONCATENATE("R9C",'Mapa final'!$O$63),"")</f>
        <v/>
      </c>
      <c r="AH14" s="69" t="str">
        <f>IF(AND('Mapa final'!$Y$58="Muy Alta",'Mapa final'!$AA$58="Catastrófico"),CONCATENATE("R9C",'Mapa final'!$O$58),"")</f>
        <v/>
      </c>
      <c r="AI14" s="70" t="str">
        <f>IF(AND('Mapa final'!$Y$59="Muy Alta",'Mapa final'!$AA$59="Catastrófico"),CONCATENATE("R9C",'Mapa final'!$O$59),"")</f>
        <v/>
      </c>
      <c r="AJ14" s="70" t="str">
        <f>IF(AND('Mapa final'!$Y$60="Muy Alta",'Mapa final'!$AA$60="Catastrófico"),CONCATENATE("R9C",'Mapa final'!$O$60),"")</f>
        <v/>
      </c>
      <c r="AK14" s="70" t="str">
        <f>IF(AND('Mapa final'!$Y$61="Muy Alta",'Mapa final'!$AA$61="Catastrófico"),CONCATENATE("R9C",'Mapa final'!$O$61),"")</f>
        <v/>
      </c>
      <c r="AL14" s="70" t="str">
        <f>IF(AND('Mapa final'!$Y$62="Muy Alta",'Mapa final'!$AA$62="Catastrófico"),CONCATENATE("R9C",'Mapa final'!$O$62),"")</f>
        <v/>
      </c>
      <c r="AM14" s="71" t="str">
        <f>IF(AND('Mapa final'!$Y$63="Muy Alta",'Mapa final'!$AA$63="Catastrófico"),CONCATENATE("R9C",'Mapa final'!$O$63),"")</f>
        <v/>
      </c>
      <c r="AN14" s="97"/>
      <c r="AO14" s="351"/>
      <c r="AP14" s="352"/>
      <c r="AQ14" s="352"/>
      <c r="AR14" s="352"/>
      <c r="AS14" s="352"/>
      <c r="AT14" s="353"/>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row>
    <row r="15" spans="1:91" ht="15.75" customHeight="1" thickBot="1" x14ac:dyDescent="0.3">
      <c r="A15" s="97"/>
      <c r="B15" s="246"/>
      <c r="C15" s="246"/>
      <c r="D15" s="247"/>
      <c r="E15" s="346"/>
      <c r="F15" s="347"/>
      <c r="G15" s="347"/>
      <c r="H15" s="347"/>
      <c r="I15" s="361"/>
      <c r="J15" s="72" t="str">
        <f>IF(AND('Mapa final'!$Y$64="Muy Alta",'Mapa final'!$AA$64="Leve"),CONCATENATE("R10C",'Mapa final'!$O$64),"")</f>
        <v/>
      </c>
      <c r="K15" s="73" t="str">
        <f>IF(AND('Mapa final'!$Y$65="Muy Alta",'Mapa final'!$AA$65="Leve"),CONCATENATE("R10C",'Mapa final'!$O$65),"")</f>
        <v/>
      </c>
      <c r="L15" s="73" t="str">
        <f>IF(AND('Mapa final'!$Y$66="Muy Alta",'Mapa final'!$AA$66="Leve"),CONCATENATE("R10C",'Mapa final'!$O$66),"")</f>
        <v/>
      </c>
      <c r="M15" s="73" t="str">
        <f>IF(AND('Mapa final'!$Y$67="Muy Alta",'Mapa final'!$AA$67="Leve"),CONCATENATE("R10C",'Mapa final'!$O$67),"")</f>
        <v/>
      </c>
      <c r="N15" s="73" t="str">
        <f>IF(AND('Mapa final'!$Y$68="Muy Alta",'Mapa final'!$AA$68="Leve"),CONCATENATE("R10C",'Mapa final'!$O$68),"")</f>
        <v/>
      </c>
      <c r="O15" s="74" t="str">
        <f>IF(AND('Mapa final'!$Y$69="Muy Alta",'Mapa final'!$AA$69="Leve"),CONCATENATE("R10C",'Mapa final'!$O$69),"")</f>
        <v/>
      </c>
      <c r="P15" s="66" t="str">
        <f>IF(AND('Mapa final'!$Y$64="Muy Alta",'Mapa final'!$AA$64="Menor"),CONCATENATE("R10C",'Mapa final'!$O$64),"")</f>
        <v/>
      </c>
      <c r="Q15" s="67" t="str">
        <f>IF(AND('Mapa final'!$Y$65="Muy Alta",'Mapa final'!$AA$65="Menor"),CONCATENATE("R10C",'Mapa final'!$O$65),"")</f>
        <v/>
      </c>
      <c r="R15" s="67" t="str">
        <f>IF(AND('Mapa final'!$Y$66="Muy Alta",'Mapa final'!$AA$66="Menor"),CONCATENATE("R10C",'Mapa final'!$O$66),"")</f>
        <v/>
      </c>
      <c r="S15" s="67" t="str">
        <f>IF(AND('Mapa final'!$Y$67="Muy Alta",'Mapa final'!$AA$67="Menor"),CONCATENATE("R10C",'Mapa final'!$O$67),"")</f>
        <v/>
      </c>
      <c r="T15" s="67" t="str">
        <f>IF(AND('Mapa final'!$Y$68="Muy Alta",'Mapa final'!$AA$68="Menor"),CONCATENATE("R10C",'Mapa final'!$O$68),"")</f>
        <v/>
      </c>
      <c r="U15" s="68" t="str">
        <f>IF(AND('Mapa final'!$Y$69="Muy Alta",'Mapa final'!$AA$69="Menor"),CONCATENATE("R10C",'Mapa final'!$O$69),"")</f>
        <v/>
      </c>
      <c r="V15" s="72" t="str">
        <f>IF(AND('Mapa final'!$Y$64="Muy Alta",'Mapa final'!$AA$64="Moderado"),CONCATENATE("R10C",'Mapa final'!$O$64),"")</f>
        <v/>
      </c>
      <c r="W15" s="73" t="str">
        <f>IF(AND('Mapa final'!$Y$65="Muy Alta",'Mapa final'!$AA$65="Moderado"),CONCATENATE("R10C",'Mapa final'!$O$65),"")</f>
        <v/>
      </c>
      <c r="X15" s="73" t="str">
        <f>IF(AND('Mapa final'!$Y$66="Muy Alta",'Mapa final'!$AA$66="Moderado"),CONCATENATE("R10C",'Mapa final'!$O$66),"")</f>
        <v/>
      </c>
      <c r="Y15" s="73" t="str">
        <f>IF(AND('Mapa final'!$Y$67="Muy Alta",'Mapa final'!$AA$67="Moderado"),CONCATENATE("R10C",'Mapa final'!$O$67),"")</f>
        <v/>
      </c>
      <c r="Z15" s="73" t="str">
        <f>IF(AND('Mapa final'!$Y$68="Muy Alta",'Mapa final'!$AA$68="Moderado"),CONCATENATE("R10C",'Mapa final'!$O$68),"")</f>
        <v/>
      </c>
      <c r="AA15" s="74" t="str">
        <f>IF(AND('Mapa final'!$Y$69="Muy Alta",'Mapa final'!$AA$69="Moderado"),CONCATENATE("R10C",'Mapa final'!$O$69),"")</f>
        <v/>
      </c>
      <c r="AB15" s="66" t="str">
        <f>IF(AND('Mapa final'!$Y$64="Muy Alta",'Mapa final'!$AA$64="Mayor"),CONCATENATE("R10C",'Mapa final'!$O$64),"")</f>
        <v/>
      </c>
      <c r="AC15" s="67" t="str">
        <f>IF(AND('Mapa final'!$Y$65="Muy Alta",'Mapa final'!$AA$65="Mayor"),CONCATENATE("R10C",'Mapa final'!$O$65),"")</f>
        <v/>
      </c>
      <c r="AD15" s="67" t="str">
        <f>IF(AND('Mapa final'!$Y$66="Muy Alta",'Mapa final'!$AA$66="Mayor"),CONCATENATE("R10C",'Mapa final'!$O$66),"")</f>
        <v/>
      </c>
      <c r="AE15" s="67" t="str">
        <f>IF(AND('Mapa final'!$Y$67="Muy Alta",'Mapa final'!$AA$67="Mayor"),CONCATENATE("R10C",'Mapa final'!$O$67),"")</f>
        <v/>
      </c>
      <c r="AF15" s="67" t="str">
        <f>IF(AND('Mapa final'!$Y$68="Muy Alta",'Mapa final'!$AA$68="Mayor"),CONCATENATE("R10C",'Mapa final'!$O$68),"")</f>
        <v/>
      </c>
      <c r="AG15" s="68" t="str">
        <f>IF(AND('Mapa final'!$Y$69="Muy Alta",'Mapa final'!$AA$69="Mayor"),CONCATENATE("R10C",'Mapa final'!$O$69),"")</f>
        <v/>
      </c>
      <c r="AH15" s="75" t="str">
        <f>IF(AND('Mapa final'!$Y$64="Muy Alta",'Mapa final'!$AA$64="Catastrófico"),CONCATENATE("R10C",'Mapa final'!$O$64),"")</f>
        <v/>
      </c>
      <c r="AI15" s="76" t="str">
        <f>IF(AND('Mapa final'!$Y$65="Muy Alta",'Mapa final'!$AA$65="Catastrófico"),CONCATENATE("R10C",'Mapa final'!$O$65),"")</f>
        <v/>
      </c>
      <c r="AJ15" s="76" t="str">
        <f>IF(AND('Mapa final'!$Y$66="Muy Alta",'Mapa final'!$AA$66="Catastrófico"),CONCATENATE("R10C",'Mapa final'!$O$66),"")</f>
        <v/>
      </c>
      <c r="AK15" s="76" t="str">
        <f>IF(AND('Mapa final'!$Y$67="Muy Alta",'Mapa final'!$AA$67="Catastrófico"),CONCATENATE("R10C",'Mapa final'!$O$67),"")</f>
        <v/>
      </c>
      <c r="AL15" s="76" t="str">
        <f>IF(AND('Mapa final'!$Y$68="Muy Alta",'Mapa final'!$AA$68="Catastrófico"),CONCATENATE("R10C",'Mapa final'!$O$68),"")</f>
        <v/>
      </c>
      <c r="AM15" s="77" t="str">
        <f>IF(AND('Mapa final'!$Y$69="Muy Alta",'Mapa final'!$AA$69="Catastrófico"),CONCATENATE("R10C",'Mapa final'!$O$69),"")</f>
        <v/>
      </c>
      <c r="AN15" s="97"/>
      <c r="AO15" s="354"/>
      <c r="AP15" s="355"/>
      <c r="AQ15" s="355"/>
      <c r="AR15" s="355"/>
      <c r="AS15" s="355"/>
      <c r="AT15" s="356"/>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row>
    <row r="16" spans="1:91" ht="15" customHeight="1" x14ac:dyDescent="0.25">
      <c r="A16" s="97"/>
      <c r="B16" s="246"/>
      <c r="C16" s="246"/>
      <c r="D16" s="247"/>
      <c r="E16" s="341" t="s">
        <v>115</v>
      </c>
      <c r="F16" s="342"/>
      <c r="G16" s="342"/>
      <c r="H16" s="342"/>
      <c r="I16" s="342"/>
      <c r="J16" s="78" t="str">
        <f>IF(AND('Mapa final'!$Y$10="Alta",'Mapa final'!$AA$10="Leve"),CONCATENATE("R1C",'Mapa final'!$O$10),"")</f>
        <v/>
      </c>
      <c r="K16" s="79" t="str">
        <f>IF(AND('Mapa final'!$Y$11="Alta",'Mapa final'!$AA$11="Leve"),CONCATENATE("R1C",'Mapa final'!$O$11),"")</f>
        <v/>
      </c>
      <c r="L16" s="79" t="str">
        <f>IF(AND('Mapa final'!$Y$12="Alta",'Mapa final'!$AA$12="Leve"),CONCATENATE("R1C",'Mapa final'!$O$12),"")</f>
        <v/>
      </c>
      <c r="M16" s="79" t="str">
        <f>IF(AND('Mapa final'!$Y$13="Alta",'Mapa final'!$AA$13="Leve"),CONCATENATE("R1C",'Mapa final'!$O$13),"")</f>
        <v/>
      </c>
      <c r="N16" s="79" t="str">
        <f>IF(AND('Mapa final'!$Y$14="Alta",'Mapa final'!$AA$14="Leve"),CONCATENATE("R1C",'Mapa final'!$O$14),"")</f>
        <v/>
      </c>
      <c r="O16" s="80" t="str">
        <f>IF(AND('Mapa final'!$Y$15="Alta",'Mapa final'!$AA$15="Leve"),CONCATENATE("R1C",'Mapa final'!$O$15),"")</f>
        <v/>
      </c>
      <c r="P16" s="78" t="str">
        <f>IF(AND('Mapa final'!$Y$10="Alta",'Mapa final'!$AA$10="Menor"),CONCATENATE("R1C",'Mapa final'!$O$10),"")</f>
        <v/>
      </c>
      <c r="Q16" s="79" t="str">
        <f>IF(AND('Mapa final'!$Y$11="Alta",'Mapa final'!$AA$11="Menor"),CONCATENATE("R1C",'Mapa final'!$O$11),"")</f>
        <v/>
      </c>
      <c r="R16" s="79" t="str">
        <f>IF(AND('Mapa final'!$Y$12="Alta",'Mapa final'!$AA$12="Menor"),CONCATENATE("R1C",'Mapa final'!$O$12),"")</f>
        <v/>
      </c>
      <c r="S16" s="79" t="str">
        <f>IF(AND('Mapa final'!$Y$13="Alta",'Mapa final'!$AA$13="Menor"),CONCATENATE("R1C",'Mapa final'!$O$13),"")</f>
        <v/>
      </c>
      <c r="T16" s="79" t="str">
        <f>IF(AND('Mapa final'!$Y$14="Alta",'Mapa final'!$AA$14="Menor"),CONCATENATE("R1C",'Mapa final'!$O$14),"")</f>
        <v/>
      </c>
      <c r="U16" s="80" t="str">
        <f>IF(AND('Mapa final'!$Y$15="Alta",'Mapa final'!$AA$15="Menor"),CONCATENATE("R1C",'Mapa final'!$O$15),"")</f>
        <v/>
      </c>
      <c r="V16" s="60" t="str">
        <f>IF(AND('Mapa final'!$Y$10="Alta",'Mapa final'!$AA$10="Moderado"),CONCATENATE("R1C",'Mapa final'!$O$10),"")</f>
        <v/>
      </c>
      <c r="W16" s="61" t="str">
        <f>IF(AND('Mapa final'!$Y$11="Alta",'Mapa final'!$AA$11="Moderado"),CONCATENATE("R1C",'Mapa final'!$O$11),"")</f>
        <v/>
      </c>
      <c r="X16" s="61" t="str">
        <f>IF(AND('Mapa final'!$Y$12="Alta",'Mapa final'!$AA$12="Moderado"),CONCATENATE("R1C",'Mapa final'!$O$12),"")</f>
        <v/>
      </c>
      <c r="Y16" s="61" t="str">
        <f>IF(AND('Mapa final'!$Y$13="Alta",'Mapa final'!$AA$13="Moderado"),CONCATENATE("R1C",'Mapa final'!$O$13),"")</f>
        <v/>
      </c>
      <c r="Z16" s="61" t="str">
        <f>IF(AND('Mapa final'!$Y$14="Alta",'Mapa final'!$AA$14="Moderado"),CONCATENATE("R1C",'Mapa final'!$O$14),"")</f>
        <v/>
      </c>
      <c r="AA16" s="62" t="str">
        <f>IF(AND('Mapa final'!$Y$15="Alta",'Mapa final'!$AA$15="Moderado"),CONCATENATE("R1C",'Mapa final'!$O$15),"")</f>
        <v/>
      </c>
      <c r="AB16" s="60" t="str">
        <f>IF(AND('Mapa final'!$Y$10="Alta",'Mapa final'!$AA$10="Mayor"),CONCATENATE("R1C",'Mapa final'!$O$10),"")</f>
        <v/>
      </c>
      <c r="AC16" s="61" t="str">
        <f>IF(AND('Mapa final'!$Y$11="Alta",'Mapa final'!$AA$11="Mayor"),CONCATENATE("R1C",'Mapa final'!$O$11),"")</f>
        <v/>
      </c>
      <c r="AD16" s="61" t="str">
        <f>IF(AND('Mapa final'!$Y$12="Alta",'Mapa final'!$AA$12="Mayor"),CONCATENATE("R1C",'Mapa final'!$O$12),"")</f>
        <v/>
      </c>
      <c r="AE16" s="61" t="str">
        <f>IF(AND('Mapa final'!$Y$13="Alta",'Mapa final'!$AA$13="Mayor"),CONCATENATE("R1C",'Mapa final'!$O$13),"")</f>
        <v/>
      </c>
      <c r="AF16" s="61" t="str">
        <f>IF(AND('Mapa final'!$Y$14="Alta",'Mapa final'!$AA$14="Mayor"),CONCATENATE("R1C",'Mapa final'!$O$14),"")</f>
        <v/>
      </c>
      <c r="AG16" s="62" t="str">
        <f>IF(AND('Mapa final'!$Y$15="Alta",'Mapa final'!$AA$15="Mayor"),CONCATENATE("R1C",'Mapa final'!$O$15),"")</f>
        <v/>
      </c>
      <c r="AH16" s="63" t="str">
        <f>IF(AND('Mapa final'!$Y$10="Alta",'Mapa final'!$AA$10="Catastrófico"),CONCATENATE("R1C",'Mapa final'!$O$10),"")</f>
        <v/>
      </c>
      <c r="AI16" s="64" t="str">
        <f>IF(AND('Mapa final'!$Y$11="Alta",'Mapa final'!$AA$11="Catastrófico"),CONCATENATE("R1C",'Mapa final'!$O$11),"")</f>
        <v/>
      </c>
      <c r="AJ16" s="64" t="str">
        <f>IF(AND('Mapa final'!$Y$12="Alta",'Mapa final'!$AA$12="Catastrófico"),CONCATENATE("R1C",'Mapa final'!$O$12),"")</f>
        <v/>
      </c>
      <c r="AK16" s="64" t="str">
        <f>IF(AND('Mapa final'!$Y$13="Alta",'Mapa final'!$AA$13="Catastrófico"),CONCATENATE("R1C",'Mapa final'!$O$13),"")</f>
        <v/>
      </c>
      <c r="AL16" s="64" t="str">
        <f>IF(AND('Mapa final'!$Y$14="Alta",'Mapa final'!$AA$14="Catastrófico"),CONCATENATE("R1C",'Mapa final'!$O$14),"")</f>
        <v/>
      </c>
      <c r="AM16" s="65" t="str">
        <f>IF(AND('Mapa final'!$Y$15="Alta",'Mapa final'!$AA$15="Catastrófico"),CONCATENATE("R1C",'Mapa final'!$O$15),"")</f>
        <v/>
      </c>
      <c r="AN16" s="97"/>
      <c r="AO16" s="332" t="s">
        <v>80</v>
      </c>
      <c r="AP16" s="333"/>
      <c r="AQ16" s="333"/>
      <c r="AR16" s="333"/>
      <c r="AS16" s="333"/>
      <c r="AT16" s="334"/>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row>
    <row r="17" spans="1:76" ht="15" customHeight="1" x14ac:dyDescent="0.25">
      <c r="A17" s="97"/>
      <c r="B17" s="246"/>
      <c r="C17" s="246"/>
      <c r="D17" s="247"/>
      <c r="E17" s="343"/>
      <c r="F17" s="344"/>
      <c r="G17" s="344"/>
      <c r="H17" s="344"/>
      <c r="I17" s="344"/>
      <c r="J17" s="81" t="str">
        <f>IF(AND('Mapa final'!$Y$16="Alta",'Mapa final'!$AA$16="Leve"),CONCATENATE("R2C",'Mapa final'!$O$16),"")</f>
        <v/>
      </c>
      <c r="K17" s="82" t="str">
        <f>IF(AND('Mapa final'!$Y$17="Alta",'Mapa final'!$AA$17="Leve"),CONCATENATE("R2C",'Mapa final'!$O$17),"")</f>
        <v/>
      </c>
      <c r="L17" s="82" t="str">
        <f>IF(AND('Mapa final'!$Y$18="Alta",'Mapa final'!$AA$18="Leve"),CONCATENATE("R2C",'Mapa final'!$O$18),"")</f>
        <v/>
      </c>
      <c r="M17" s="82" t="str">
        <f>IF(AND('Mapa final'!$Y$19="Alta",'Mapa final'!$AA$19="Leve"),CONCATENATE("R2C",'Mapa final'!$O$19),"")</f>
        <v/>
      </c>
      <c r="N17" s="82" t="str">
        <f>IF(AND('Mapa final'!$Y$20="Alta",'Mapa final'!$AA$20="Leve"),CONCATENATE("R2C",'Mapa final'!$O$20),"")</f>
        <v/>
      </c>
      <c r="O17" s="83" t="str">
        <f>IF(AND('Mapa final'!$Y$21="Alta",'Mapa final'!$AA$21="Leve"),CONCATENATE("R2C",'Mapa final'!$O$21),"")</f>
        <v/>
      </c>
      <c r="P17" s="81" t="str">
        <f>IF(AND('Mapa final'!$Y$16="Alta",'Mapa final'!$AA$16="Menor"),CONCATENATE("R2C",'Mapa final'!$O$16),"")</f>
        <v/>
      </c>
      <c r="Q17" s="82" t="str">
        <f>IF(AND('Mapa final'!$Y$17="Alta",'Mapa final'!$AA$17="Menor"),CONCATENATE("R2C",'Mapa final'!$O$17),"")</f>
        <v/>
      </c>
      <c r="R17" s="82" t="str">
        <f>IF(AND('Mapa final'!$Y$18="Alta",'Mapa final'!$AA$18="Menor"),CONCATENATE("R2C",'Mapa final'!$O$18),"")</f>
        <v/>
      </c>
      <c r="S17" s="82" t="str">
        <f>IF(AND('Mapa final'!$Y$19="Alta",'Mapa final'!$AA$19="Menor"),CONCATENATE("R2C",'Mapa final'!$O$19),"")</f>
        <v/>
      </c>
      <c r="T17" s="82" t="str">
        <f>IF(AND('Mapa final'!$Y$20="Alta",'Mapa final'!$AA$20="Menor"),CONCATENATE("R2C",'Mapa final'!$O$20),"")</f>
        <v/>
      </c>
      <c r="U17" s="83" t="str">
        <f>IF(AND('Mapa final'!$Y$21="Alta",'Mapa final'!$AA$21="Menor"),CONCATENATE("R2C",'Mapa final'!$O$21),"")</f>
        <v/>
      </c>
      <c r="V17" s="66" t="str">
        <f>IF(AND('Mapa final'!$Y$16="Alta",'Mapa final'!$AA$16="Moderado"),CONCATENATE("R2C",'Mapa final'!$O$16),"")</f>
        <v/>
      </c>
      <c r="W17" s="67" t="str">
        <f>IF(AND('Mapa final'!$Y$17="Alta",'Mapa final'!$AA$17="Moderado"),CONCATENATE("R2C",'Mapa final'!$O$17),"")</f>
        <v/>
      </c>
      <c r="X17" s="67" t="str">
        <f>IF(AND('Mapa final'!$Y$18="Alta",'Mapa final'!$AA$18="Moderado"),CONCATENATE("R2C",'Mapa final'!$O$18),"")</f>
        <v/>
      </c>
      <c r="Y17" s="67" t="str">
        <f>IF(AND('Mapa final'!$Y$19="Alta",'Mapa final'!$AA$19="Moderado"),CONCATENATE("R2C",'Mapa final'!$O$19),"")</f>
        <v/>
      </c>
      <c r="Z17" s="67" t="str">
        <f>IF(AND('Mapa final'!$Y$20="Alta",'Mapa final'!$AA$20="Moderado"),CONCATENATE("R2C",'Mapa final'!$O$20),"")</f>
        <v/>
      </c>
      <c r="AA17" s="68" t="str">
        <f>IF(AND('Mapa final'!$Y$21="Alta",'Mapa final'!$AA$21="Moderado"),CONCATENATE("R2C",'Mapa final'!$O$21),"")</f>
        <v/>
      </c>
      <c r="AB17" s="66" t="str">
        <f>IF(AND('Mapa final'!$Y$16="Alta",'Mapa final'!$AA$16="Mayor"),CONCATENATE("R2C",'Mapa final'!$O$16),"")</f>
        <v/>
      </c>
      <c r="AC17" s="67" t="str">
        <f>IF(AND('Mapa final'!$Y$17="Alta",'Mapa final'!$AA$17="Mayor"),CONCATENATE("R2C",'Mapa final'!$O$17),"")</f>
        <v/>
      </c>
      <c r="AD17" s="67" t="str">
        <f>IF(AND('Mapa final'!$Y$18="Alta",'Mapa final'!$AA$18="Mayor"),CONCATENATE("R2C",'Mapa final'!$O$18),"")</f>
        <v/>
      </c>
      <c r="AE17" s="67" t="str">
        <f>IF(AND('Mapa final'!$Y$19="Alta",'Mapa final'!$AA$19="Mayor"),CONCATENATE("R2C",'Mapa final'!$O$19),"")</f>
        <v/>
      </c>
      <c r="AF17" s="67" t="str">
        <f>IF(AND('Mapa final'!$Y$20="Alta",'Mapa final'!$AA$20="Mayor"),CONCATENATE("R2C",'Mapa final'!$O$20),"")</f>
        <v/>
      </c>
      <c r="AG17" s="68" t="str">
        <f>IF(AND('Mapa final'!$Y$21="Alta",'Mapa final'!$AA$21="Mayor"),CONCATENATE("R2C",'Mapa final'!$O$21),"")</f>
        <v/>
      </c>
      <c r="AH17" s="69" t="str">
        <f>IF(AND('Mapa final'!$Y$16="Alta",'Mapa final'!$AA$16="Catastrófico"),CONCATENATE("R2C",'Mapa final'!$O$16),"")</f>
        <v/>
      </c>
      <c r="AI17" s="70" t="str">
        <f>IF(AND('Mapa final'!$Y$17="Alta",'Mapa final'!$AA$17="Catastrófico"),CONCATENATE("R2C",'Mapa final'!$O$17),"")</f>
        <v/>
      </c>
      <c r="AJ17" s="70" t="str">
        <f>IF(AND('Mapa final'!$Y$18="Alta",'Mapa final'!$AA$18="Catastrófico"),CONCATENATE("R2C",'Mapa final'!$O$18),"")</f>
        <v/>
      </c>
      <c r="AK17" s="70" t="str">
        <f>IF(AND('Mapa final'!$Y$19="Alta",'Mapa final'!$AA$19="Catastrófico"),CONCATENATE("R2C",'Mapa final'!$O$19),"")</f>
        <v/>
      </c>
      <c r="AL17" s="70" t="str">
        <f>IF(AND('Mapa final'!$Y$20="Alta",'Mapa final'!$AA$20="Catastrófico"),CONCATENATE("R2C",'Mapa final'!$O$20),"")</f>
        <v/>
      </c>
      <c r="AM17" s="71" t="str">
        <f>IF(AND('Mapa final'!$Y$21="Alta",'Mapa final'!$AA$21="Catastrófico"),CONCATENATE("R2C",'Mapa final'!$O$21),"")</f>
        <v/>
      </c>
      <c r="AN17" s="97"/>
      <c r="AO17" s="335"/>
      <c r="AP17" s="336"/>
      <c r="AQ17" s="336"/>
      <c r="AR17" s="336"/>
      <c r="AS17" s="336"/>
      <c r="AT17" s="33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row>
    <row r="18" spans="1:76" ht="15" customHeight="1" x14ac:dyDescent="0.25">
      <c r="A18" s="97"/>
      <c r="B18" s="246"/>
      <c r="C18" s="246"/>
      <c r="D18" s="247"/>
      <c r="E18" s="345"/>
      <c r="F18" s="344"/>
      <c r="G18" s="344"/>
      <c r="H18" s="344"/>
      <c r="I18" s="344"/>
      <c r="J18" s="81" t="str">
        <f>IF(AND('Mapa final'!$Y$22="Alta",'Mapa final'!$AA$22="Leve"),CONCATENATE("R3C",'Mapa final'!$O$22),"")</f>
        <v/>
      </c>
      <c r="K18" s="82" t="str">
        <f>IF(AND('Mapa final'!$Y$23="Alta",'Mapa final'!$AA$23="Leve"),CONCATENATE("R3C",'Mapa final'!$O$23),"")</f>
        <v/>
      </c>
      <c r="L18" s="82" t="str">
        <f>IF(AND('Mapa final'!$Y$24="Alta",'Mapa final'!$AA$24="Leve"),CONCATENATE("R3C",'Mapa final'!$O$24),"")</f>
        <v/>
      </c>
      <c r="M18" s="82" t="str">
        <f>IF(AND('Mapa final'!$Y$25="Alta",'Mapa final'!$AA$25="Leve"),CONCATENATE("R3C",'Mapa final'!$O$25),"")</f>
        <v/>
      </c>
      <c r="N18" s="82" t="str">
        <f>IF(AND('Mapa final'!$Y$26="Alta",'Mapa final'!$AA$26="Leve"),CONCATENATE("R3C",'Mapa final'!$O$26),"")</f>
        <v/>
      </c>
      <c r="O18" s="83" t="str">
        <f>IF(AND('Mapa final'!$Y$27="Alta",'Mapa final'!$AA$27="Leve"),CONCATENATE("R3C",'Mapa final'!$O$27),"")</f>
        <v/>
      </c>
      <c r="P18" s="81" t="str">
        <f>IF(AND('Mapa final'!$Y$22="Alta",'Mapa final'!$AA$22="Menor"),CONCATENATE("R3C",'Mapa final'!$O$22),"")</f>
        <v/>
      </c>
      <c r="Q18" s="82" t="str">
        <f>IF(AND('Mapa final'!$Y$23="Alta",'Mapa final'!$AA$23="Menor"),CONCATENATE("R3C",'Mapa final'!$O$23),"")</f>
        <v/>
      </c>
      <c r="R18" s="82" t="str">
        <f>IF(AND('Mapa final'!$Y$24="Alta",'Mapa final'!$AA$24="Menor"),CONCATENATE("R3C",'Mapa final'!$O$24),"")</f>
        <v/>
      </c>
      <c r="S18" s="82" t="str">
        <f>IF(AND('Mapa final'!$Y$25="Alta",'Mapa final'!$AA$25="Menor"),CONCATENATE("R3C",'Mapa final'!$O$25),"")</f>
        <v/>
      </c>
      <c r="T18" s="82" t="str">
        <f>IF(AND('Mapa final'!$Y$26="Alta",'Mapa final'!$AA$26="Menor"),CONCATENATE("R3C",'Mapa final'!$O$26),"")</f>
        <v/>
      </c>
      <c r="U18" s="83" t="str">
        <f>IF(AND('Mapa final'!$Y$27="Alta",'Mapa final'!$AA$27="Menor"),CONCATENATE("R3C",'Mapa final'!$O$27),"")</f>
        <v/>
      </c>
      <c r="V18" s="66" t="str">
        <f>IF(AND('Mapa final'!$Y$22="Alta",'Mapa final'!$AA$22="Moderado"),CONCATENATE("R3C",'Mapa final'!$O$22),"")</f>
        <v/>
      </c>
      <c r="W18" s="67" t="str">
        <f>IF(AND('Mapa final'!$Y$23="Alta",'Mapa final'!$AA$23="Moderado"),CONCATENATE("R3C",'Mapa final'!$O$23),"")</f>
        <v/>
      </c>
      <c r="X18" s="67" t="str">
        <f>IF(AND('Mapa final'!$Y$24="Alta",'Mapa final'!$AA$24="Moderado"),CONCATENATE("R3C",'Mapa final'!$O$24),"")</f>
        <v/>
      </c>
      <c r="Y18" s="67" t="str">
        <f>IF(AND('Mapa final'!$Y$25="Alta",'Mapa final'!$AA$25="Moderado"),CONCATENATE("R3C",'Mapa final'!$O$25),"")</f>
        <v/>
      </c>
      <c r="Z18" s="67" t="str">
        <f>IF(AND('Mapa final'!$Y$26="Alta",'Mapa final'!$AA$26="Moderado"),CONCATENATE("R3C",'Mapa final'!$O$26),"")</f>
        <v/>
      </c>
      <c r="AA18" s="68" t="str">
        <f>IF(AND('Mapa final'!$Y$27="Alta",'Mapa final'!$AA$27="Moderado"),CONCATENATE("R3C",'Mapa final'!$O$27),"")</f>
        <v/>
      </c>
      <c r="AB18" s="66" t="str">
        <f>IF(AND('Mapa final'!$Y$22="Alta",'Mapa final'!$AA$22="Mayor"),CONCATENATE("R3C",'Mapa final'!$O$22),"")</f>
        <v/>
      </c>
      <c r="AC18" s="67" t="str">
        <f>IF(AND('Mapa final'!$Y$23="Alta",'Mapa final'!$AA$23="Mayor"),CONCATENATE("R3C",'Mapa final'!$O$23),"")</f>
        <v/>
      </c>
      <c r="AD18" s="67" t="str">
        <f>IF(AND('Mapa final'!$Y$24="Alta",'Mapa final'!$AA$24="Mayor"),CONCATENATE("R3C",'Mapa final'!$O$24),"")</f>
        <v/>
      </c>
      <c r="AE18" s="67" t="str">
        <f>IF(AND('Mapa final'!$Y$25="Alta",'Mapa final'!$AA$25="Mayor"),CONCATENATE("R3C",'Mapa final'!$O$25),"")</f>
        <v/>
      </c>
      <c r="AF18" s="67" t="str">
        <f>IF(AND('Mapa final'!$Y$26="Alta",'Mapa final'!$AA$26="Mayor"),CONCATENATE("R3C",'Mapa final'!$O$26),"")</f>
        <v/>
      </c>
      <c r="AG18" s="68" t="str">
        <f>IF(AND('Mapa final'!$Y$27="Alta",'Mapa final'!$AA$27="Mayor"),CONCATENATE("R3C",'Mapa final'!$O$27),"")</f>
        <v/>
      </c>
      <c r="AH18" s="69" t="str">
        <f>IF(AND('Mapa final'!$Y$22="Alta",'Mapa final'!$AA$22="Catastrófico"),CONCATENATE("R3C",'Mapa final'!$O$22),"")</f>
        <v/>
      </c>
      <c r="AI18" s="70" t="str">
        <f>IF(AND('Mapa final'!$Y$23="Alta",'Mapa final'!$AA$23="Catastrófico"),CONCATENATE("R3C",'Mapa final'!$O$23),"")</f>
        <v/>
      </c>
      <c r="AJ18" s="70" t="str">
        <f>IF(AND('Mapa final'!$Y$24="Alta",'Mapa final'!$AA$24="Catastrófico"),CONCATENATE("R3C",'Mapa final'!$O$24),"")</f>
        <v/>
      </c>
      <c r="AK18" s="70" t="str">
        <f>IF(AND('Mapa final'!$Y$25="Alta",'Mapa final'!$AA$25="Catastrófico"),CONCATENATE("R3C",'Mapa final'!$O$25),"")</f>
        <v/>
      </c>
      <c r="AL18" s="70" t="str">
        <f>IF(AND('Mapa final'!$Y$26="Alta",'Mapa final'!$AA$26="Catastrófico"),CONCATENATE("R3C",'Mapa final'!$O$26),"")</f>
        <v/>
      </c>
      <c r="AM18" s="71" t="str">
        <f>IF(AND('Mapa final'!$Y$27="Alta",'Mapa final'!$AA$27="Catastrófico"),CONCATENATE("R3C",'Mapa final'!$O$27),"")</f>
        <v/>
      </c>
      <c r="AN18" s="97"/>
      <c r="AO18" s="335"/>
      <c r="AP18" s="336"/>
      <c r="AQ18" s="336"/>
      <c r="AR18" s="336"/>
      <c r="AS18" s="336"/>
      <c r="AT18" s="33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row>
    <row r="19" spans="1:76" ht="15" customHeight="1" x14ac:dyDescent="0.25">
      <c r="A19" s="97"/>
      <c r="B19" s="246"/>
      <c r="C19" s="246"/>
      <c r="D19" s="247"/>
      <c r="E19" s="345"/>
      <c r="F19" s="344"/>
      <c r="G19" s="344"/>
      <c r="H19" s="344"/>
      <c r="I19" s="344"/>
      <c r="J19" s="81" t="str">
        <f>IF(AND('Mapa final'!$Y$28="Alta",'Mapa final'!$AA$28="Leve"),CONCATENATE("R4C",'Mapa final'!$O$28),"")</f>
        <v/>
      </c>
      <c r="K19" s="82" t="str">
        <f>IF(AND('Mapa final'!$Y$29="Alta",'Mapa final'!$AA$29="Leve"),CONCATENATE("R4C",'Mapa final'!$O$29),"")</f>
        <v/>
      </c>
      <c r="L19" s="82" t="str">
        <f>IF(AND('Mapa final'!$Y$30="Alta",'Mapa final'!$AA$30="Leve"),CONCATENATE("R4C",'Mapa final'!$O$30),"")</f>
        <v/>
      </c>
      <c r="M19" s="82" t="str">
        <f>IF(AND('Mapa final'!$Y$31="Alta",'Mapa final'!$AA$31="Leve"),CONCATENATE("R4C",'Mapa final'!$O$31),"")</f>
        <v/>
      </c>
      <c r="N19" s="82" t="str">
        <f>IF(AND('Mapa final'!$Y$32="Alta",'Mapa final'!$AA$32="Leve"),CONCATENATE("R4C",'Mapa final'!$O$32),"")</f>
        <v/>
      </c>
      <c r="O19" s="83" t="str">
        <f>IF(AND('Mapa final'!$Y$33="Alta",'Mapa final'!$AA$33="Leve"),CONCATENATE("R4C",'Mapa final'!$O$33),"")</f>
        <v/>
      </c>
      <c r="P19" s="81" t="str">
        <f>IF(AND('Mapa final'!$Y$28="Alta",'Mapa final'!$AA$28="Menor"),CONCATENATE("R4C",'Mapa final'!$O$28),"")</f>
        <v/>
      </c>
      <c r="Q19" s="82" t="str">
        <f>IF(AND('Mapa final'!$Y$29="Alta",'Mapa final'!$AA$29="Menor"),CONCATENATE("R4C",'Mapa final'!$O$29),"")</f>
        <v/>
      </c>
      <c r="R19" s="82" t="str">
        <f>IF(AND('Mapa final'!$Y$30="Alta",'Mapa final'!$AA$30="Menor"),CONCATENATE("R4C",'Mapa final'!$O$30),"")</f>
        <v/>
      </c>
      <c r="S19" s="82" t="str">
        <f>IF(AND('Mapa final'!$Y$31="Alta",'Mapa final'!$AA$31="Menor"),CONCATENATE("R4C",'Mapa final'!$O$31),"")</f>
        <v/>
      </c>
      <c r="T19" s="82" t="str">
        <f>IF(AND('Mapa final'!$Y$32="Alta",'Mapa final'!$AA$32="Menor"),CONCATENATE("R4C",'Mapa final'!$O$32),"")</f>
        <v/>
      </c>
      <c r="U19" s="83" t="str">
        <f>IF(AND('Mapa final'!$Y$33="Alta",'Mapa final'!$AA$33="Menor"),CONCATENATE("R4C",'Mapa final'!$O$33),"")</f>
        <v/>
      </c>
      <c r="V19" s="66" t="str">
        <f>IF(AND('Mapa final'!$Y$28="Alta",'Mapa final'!$AA$28="Moderado"),CONCATENATE("R4C",'Mapa final'!$O$28),"")</f>
        <v/>
      </c>
      <c r="W19" s="67" t="str">
        <f>IF(AND('Mapa final'!$Y$29="Alta",'Mapa final'!$AA$29="Moderado"),CONCATENATE("R4C",'Mapa final'!$O$29),"")</f>
        <v/>
      </c>
      <c r="X19" s="67" t="str">
        <f>IF(AND('Mapa final'!$Y$30="Alta",'Mapa final'!$AA$30="Moderado"),CONCATENATE("R4C",'Mapa final'!$O$30),"")</f>
        <v/>
      </c>
      <c r="Y19" s="67" t="str">
        <f>IF(AND('Mapa final'!$Y$31="Alta",'Mapa final'!$AA$31="Moderado"),CONCATENATE("R4C",'Mapa final'!$O$31),"")</f>
        <v/>
      </c>
      <c r="Z19" s="67" t="str">
        <f>IF(AND('Mapa final'!$Y$32="Alta",'Mapa final'!$AA$32="Moderado"),CONCATENATE("R4C",'Mapa final'!$O$32),"")</f>
        <v/>
      </c>
      <c r="AA19" s="68" t="str">
        <f>IF(AND('Mapa final'!$Y$33="Alta",'Mapa final'!$AA$33="Moderado"),CONCATENATE("R4C",'Mapa final'!$O$33),"")</f>
        <v/>
      </c>
      <c r="AB19" s="66" t="str">
        <f>IF(AND('Mapa final'!$Y$28="Alta",'Mapa final'!$AA$28="Mayor"),CONCATENATE("R4C",'Mapa final'!$O$28),"")</f>
        <v/>
      </c>
      <c r="AC19" s="67" t="str">
        <f>IF(AND('Mapa final'!$Y$29="Alta",'Mapa final'!$AA$29="Mayor"),CONCATENATE("R4C",'Mapa final'!$O$29),"")</f>
        <v/>
      </c>
      <c r="AD19" s="67" t="str">
        <f>IF(AND('Mapa final'!$Y$30="Alta",'Mapa final'!$AA$30="Mayor"),CONCATENATE("R4C",'Mapa final'!$O$30),"")</f>
        <v/>
      </c>
      <c r="AE19" s="67" t="str">
        <f>IF(AND('Mapa final'!$Y$31="Alta",'Mapa final'!$AA$31="Mayor"),CONCATENATE("R4C",'Mapa final'!$O$31),"")</f>
        <v/>
      </c>
      <c r="AF19" s="67" t="str">
        <f>IF(AND('Mapa final'!$Y$32="Alta",'Mapa final'!$AA$32="Mayor"),CONCATENATE("R4C",'Mapa final'!$O$32),"")</f>
        <v/>
      </c>
      <c r="AG19" s="68" t="str">
        <f>IF(AND('Mapa final'!$Y$33="Alta",'Mapa final'!$AA$33="Mayor"),CONCATENATE("R4C",'Mapa final'!$O$33),"")</f>
        <v/>
      </c>
      <c r="AH19" s="69" t="str">
        <f>IF(AND('Mapa final'!$Y$28="Alta",'Mapa final'!$AA$28="Catastrófico"),CONCATENATE("R4C",'Mapa final'!$O$28),"")</f>
        <v/>
      </c>
      <c r="AI19" s="70" t="str">
        <f>IF(AND('Mapa final'!$Y$29="Alta",'Mapa final'!$AA$29="Catastrófico"),CONCATENATE("R4C",'Mapa final'!$O$29),"")</f>
        <v/>
      </c>
      <c r="AJ19" s="70" t="str">
        <f>IF(AND('Mapa final'!$Y$30="Alta",'Mapa final'!$AA$30="Catastrófico"),CONCATENATE("R4C",'Mapa final'!$O$30),"")</f>
        <v/>
      </c>
      <c r="AK19" s="70" t="str">
        <f>IF(AND('Mapa final'!$Y$31="Alta",'Mapa final'!$AA$31="Catastrófico"),CONCATENATE("R4C",'Mapa final'!$O$31),"")</f>
        <v/>
      </c>
      <c r="AL19" s="70" t="str">
        <f>IF(AND('Mapa final'!$Y$32="Alta",'Mapa final'!$AA$32="Catastrófico"),CONCATENATE("R4C",'Mapa final'!$O$32),"")</f>
        <v/>
      </c>
      <c r="AM19" s="71" t="str">
        <f>IF(AND('Mapa final'!$Y$33="Alta",'Mapa final'!$AA$33="Catastrófico"),CONCATENATE("R4C",'Mapa final'!$O$33),"")</f>
        <v/>
      </c>
      <c r="AN19" s="97"/>
      <c r="AO19" s="335"/>
      <c r="AP19" s="336"/>
      <c r="AQ19" s="336"/>
      <c r="AR19" s="336"/>
      <c r="AS19" s="336"/>
      <c r="AT19" s="33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row>
    <row r="20" spans="1:76" ht="15" customHeight="1" x14ac:dyDescent="0.25">
      <c r="A20" s="97"/>
      <c r="B20" s="246"/>
      <c r="C20" s="246"/>
      <c r="D20" s="247"/>
      <c r="E20" s="345"/>
      <c r="F20" s="344"/>
      <c r="G20" s="344"/>
      <c r="H20" s="344"/>
      <c r="I20" s="344"/>
      <c r="J20" s="81" t="str">
        <f>IF(AND('Mapa final'!$Y$34="Alta",'Mapa final'!$AA$34="Leve"),CONCATENATE("R5C",'Mapa final'!$O$34),"")</f>
        <v/>
      </c>
      <c r="K20" s="82" t="str">
        <f>IF(AND('Mapa final'!$Y$35="Alta",'Mapa final'!$AA$35="Leve"),CONCATENATE("R5C",'Mapa final'!$O$35),"")</f>
        <v/>
      </c>
      <c r="L20" s="82" t="str">
        <f>IF(AND('Mapa final'!$Y$36="Alta",'Mapa final'!$AA$36="Leve"),CONCATENATE("R5C",'Mapa final'!$O$36),"")</f>
        <v/>
      </c>
      <c r="M20" s="82" t="str">
        <f>IF(AND('Mapa final'!$Y$37="Alta",'Mapa final'!$AA$37="Leve"),CONCATENATE("R5C",'Mapa final'!$O$37),"")</f>
        <v/>
      </c>
      <c r="N20" s="82" t="str">
        <f>IF(AND('Mapa final'!$Y$38="Alta",'Mapa final'!$AA$38="Leve"),CONCATENATE("R5C",'Mapa final'!$O$38),"")</f>
        <v/>
      </c>
      <c r="O20" s="83" t="str">
        <f>IF(AND('Mapa final'!$Y$39="Alta",'Mapa final'!$AA$39="Leve"),CONCATENATE("R5C",'Mapa final'!$O$39),"")</f>
        <v/>
      </c>
      <c r="P20" s="81" t="str">
        <f>IF(AND('Mapa final'!$Y$34="Alta",'Mapa final'!$AA$34="Menor"),CONCATENATE("R5C",'Mapa final'!$O$34),"")</f>
        <v/>
      </c>
      <c r="Q20" s="82" t="str">
        <f>IF(AND('Mapa final'!$Y$35="Alta",'Mapa final'!$AA$35="Menor"),CONCATENATE("R5C",'Mapa final'!$O$35),"")</f>
        <v/>
      </c>
      <c r="R20" s="82" t="str">
        <f>IF(AND('Mapa final'!$Y$36="Alta",'Mapa final'!$AA$36="Menor"),CONCATENATE("R5C",'Mapa final'!$O$36),"")</f>
        <v/>
      </c>
      <c r="S20" s="82" t="str">
        <f>IF(AND('Mapa final'!$Y$37="Alta",'Mapa final'!$AA$37="Menor"),CONCATENATE("R5C",'Mapa final'!$O$37),"")</f>
        <v/>
      </c>
      <c r="T20" s="82" t="str">
        <f>IF(AND('Mapa final'!$Y$38="Alta",'Mapa final'!$AA$38="Menor"),CONCATENATE("R5C",'Mapa final'!$O$38),"")</f>
        <v/>
      </c>
      <c r="U20" s="83" t="str">
        <f>IF(AND('Mapa final'!$Y$39="Alta",'Mapa final'!$AA$39="Menor"),CONCATENATE("R5C",'Mapa final'!$O$39),"")</f>
        <v/>
      </c>
      <c r="V20" s="66" t="str">
        <f>IF(AND('Mapa final'!$Y$34="Alta",'Mapa final'!$AA$34="Moderado"),CONCATENATE("R5C",'Mapa final'!$O$34),"")</f>
        <v/>
      </c>
      <c r="W20" s="67" t="str">
        <f>IF(AND('Mapa final'!$Y$35="Alta",'Mapa final'!$AA$35="Moderado"),CONCATENATE("R5C",'Mapa final'!$O$35),"")</f>
        <v/>
      </c>
      <c r="X20" s="67" t="str">
        <f>IF(AND('Mapa final'!$Y$36="Alta",'Mapa final'!$AA$36="Moderado"),CONCATENATE("R5C",'Mapa final'!$O$36),"")</f>
        <v/>
      </c>
      <c r="Y20" s="67" t="str">
        <f>IF(AND('Mapa final'!$Y$37="Alta",'Mapa final'!$AA$37="Moderado"),CONCATENATE("R5C",'Mapa final'!$O$37),"")</f>
        <v/>
      </c>
      <c r="Z20" s="67" t="str">
        <f>IF(AND('Mapa final'!$Y$38="Alta",'Mapa final'!$AA$38="Moderado"),CONCATENATE("R5C",'Mapa final'!$O$38),"")</f>
        <v/>
      </c>
      <c r="AA20" s="68" t="str">
        <f>IF(AND('Mapa final'!$Y$39="Alta",'Mapa final'!$AA$39="Moderado"),CONCATENATE("R5C",'Mapa final'!$O$39),"")</f>
        <v/>
      </c>
      <c r="AB20" s="66" t="str">
        <f>IF(AND('Mapa final'!$Y$34="Alta",'Mapa final'!$AA$34="Mayor"),CONCATENATE("R5C",'Mapa final'!$O$34),"")</f>
        <v/>
      </c>
      <c r="AC20" s="67" t="str">
        <f>IF(AND('Mapa final'!$Y$35="Alta",'Mapa final'!$AA$35="Mayor"),CONCATENATE("R5C",'Mapa final'!$O$35),"")</f>
        <v/>
      </c>
      <c r="AD20" s="67" t="str">
        <f>IF(AND('Mapa final'!$Y$36="Alta",'Mapa final'!$AA$36="Mayor"),CONCATENATE("R5C",'Mapa final'!$O$36),"")</f>
        <v/>
      </c>
      <c r="AE20" s="67" t="str">
        <f>IF(AND('Mapa final'!$Y$37="Alta",'Mapa final'!$AA$37="Mayor"),CONCATENATE("R5C",'Mapa final'!$O$37),"")</f>
        <v/>
      </c>
      <c r="AF20" s="67" t="str">
        <f>IF(AND('Mapa final'!$Y$38="Alta",'Mapa final'!$AA$38="Mayor"),CONCATENATE("R5C",'Mapa final'!$O$38),"")</f>
        <v/>
      </c>
      <c r="AG20" s="68" t="str">
        <f>IF(AND('Mapa final'!$Y$39="Alta",'Mapa final'!$AA$39="Mayor"),CONCATENATE("R5C",'Mapa final'!$O$39),"")</f>
        <v/>
      </c>
      <c r="AH20" s="69" t="str">
        <f>IF(AND('Mapa final'!$Y$34="Alta",'Mapa final'!$AA$34="Catastrófico"),CONCATENATE("R5C",'Mapa final'!$O$34),"")</f>
        <v/>
      </c>
      <c r="AI20" s="70" t="str">
        <f>IF(AND('Mapa final'!$Y$35="Alta",'Mapa final'!$AA$35="Catastrófico"),CONCATENATE("R5C",'Mapa final'!$O$35),"")</f>
        <v/>
      </c>
      <c r="AJ20" s="70" t="str">
        <f>IF(AND('Mapa final'!$Y$36="Alta",'Mapa final'!$AA$36="Catastrófico"),CONCATENATE("R5C",'Mapa final'!$O$36),"")</f>
        <v/>
      </c>
      <c r="AK20" s="70" t="str">
        <f>IF(AND('Mapa final'!$Y$37="Alta",'Mapa final'!$AA$37="Catastrófico"),CONCATENATE("R5C",'Mapa final'!$O$37),"")</f>
        <v/>
      </c>
      <c r="AL20" s="70" t="str">
        <f>IF(AND('Mapa final'!$Y$38="Alta",'Mapa final'!$AA$38="Catastrófico"),CONCATENATE("R5C",'Mapa final'!$O$38),"")</f>
        <v/>
      </c>
      <c r="AM20" s="71" t="str">
        <f>IF(AND('Mapa final'!$Y$39="Alta",'Mapa final'!$AA$39="Catastrófico"),CONCATENATE("R5C",'Mapa final'!$O$39),"")</f>
        <v/>
      </c>
      <c r="AN20" s="97"/>
      <c r="AO20" s="335"/>
      <c r="AP20" s="336"/>
      <c r="AQ20" s="336"/>
      <c r="AR20" s="336"/>
      <c r="AS20" s="336"/>
      <c r="AT20" s="33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row>
    <row r="21" spans="1:76" ht="15" customHeight="1" x14ac:dyDescent="0.25">
      <c r="A21" s="97"/>
      <c r="B21" s="246"/>
      <c r="C21" s="246"/>
      <c r="D21" s="247"/>
      <c r="E21" s="345"/>
      <c r="F21" s="344"/>
      <c r="G21" s="344"/>
      <c r="H21" s="344"/>
      <c r="I21" s="344"/>
      <c r="J21" s="81" t="str">
        <f>IF(AND('Mapa final'!$Y$40="Alta",'Mapa final'!$AA$40="Leve"),CONCATENATE("R6C",'Mapa final'!$O$40),"")</f>
        <v/>
      </c>
      <c r="K21" s="82" t="str">
        <f>IF(AND('Mapa final'!$Y$41="Alta",'Mapa final'!$AA$41="Leve"),CONCATENATE("R6C",'Mapa final'!$O$41),"")</f>
        <v/>
      </c>
      <c r="L21" s="82" t="str">
        <f>IF(AND('Mapa final'!$Y$42="Alta",'Mapa final'!$AA$42="Leve"),CONCATENATE("R6C",'Mapa final'!$O$42),"")</f>
        <v/>
      </c>
      <c r="M21" s="82" t="str">
        <f>IF(AND('Mapa final'!$Y$43="Alta",'Mapa final'!$AA$43="Leve"),CONCATENATE("R6C",'Mapa final'!$O$43),"")</f>
        <v/>
      </c>
      <c r="N21" s="82" t="str">
        <f>IF(AND('Mapa final'!$Y$44="Alta",'Mapa final'!$AA$44="Leve"),CONCATENATE("R6C",'Mapa final'!$O$44),"")</f>
        <v/>
      </c>
      <c r="O21" s="83" t="str">
        <f>IF(AND('Mapa final'!$Y$45="Alta",'Mapa final'!$AA$45="Leve"),CONCATENATE("R6C",'Mapa final'!$O$45),"")</f>
        <v/>
      </c>
      <c r="P21" s="81" t="str">
        <f>IF(AND('Mapa final'!$Y$40="Alta",'Mapa final'!$AA$40="Menor"),CONCATENATE("R6C",'Mapa final'!$O$40),"")</f>
        <v/>
      </c>
      <c r="Q21" s="82" t="str">
        <f>IF(AND('Mapa final'!$Y$41="Alta",'Mapa final'!$AA$41="Menor"),CONCATENATE("R6C",'Mapa final'!$O$41),"")</f>
        <v/>
      </c>
      <c r="R21" s="82" t="str">
        <f>IF(AND('Mapa final'!$Y$42="Alta",'Mapa final'!$AA$42="Menor"),CONCATENATE("R6C",'Mapa final'!$O$42),"")</f>
        <v/>
      </c>
      <c r="S21" s="82" t="str">
        <f>IF(AND('Mapa final'!$Y$43="Alta",'Mapa final'!$AA$43="Menor"),CONCATENATE("R6C",'Mapa final'!$O$43),"")</f>
        <v/>
      </c>
      <c r="T21" s="82" t="str">
        <f>IF(AND('Mapa final'!$Y$44="Alta",'Mapa final'!$AA$44="Menor"),CONCATENATE("R6C",'Mapa final'!$O$44),"")</f>
        <v/>
      </c>
      <c r="U21" s="83" t="str">
        <f>IF(AND('Mapa final'!$Y$45="Alta",'Mapa final'!$AA$45="Menor"),CONCATENATE("R6C",'Mapa final'!$O$45),"")</f>
        <v/>
      </c>
      <c r="V21" s="66" t="str">
        <f>IF(AND('Mapa final'!$Y$40="Alta",'Mapa final'!$AA$40="Moderado"),CONCATENATE("R6C",'Mapa final'!$O$40),"")</f>
        <v/>
      </c>
      <c r="W21" s="67" t="str">
        <f>IF(AND('Mapa final'!$Y$41="Alta",'Mapa final'!$AA$41="Moderado"),CONCATENATE("R6C",'Mapa final'!$O$41),"")</f>
        <v/>
      </c>
      <c r="X21" s="67" t="str">
        <f>IF(AND('Mapa final'!$Y$42="Alta",'Mapa final'!$AA$42="Moderado"),CONCATENATE("R6C",'Mapa final'!$O$42),"")</f>
        <v/>
      </c>
      <c r="Y21" s="67" t="str">
        <f>IF(AND('Mapa final'!$Y$43="Alta",'Mapa final'!$AA$43="Moderado"),CONCATENATE("R6C",'Mapa final'!$O$43),"")</f>
        <v/>
      </c>
      <c r="Z21" s="67" t="str">
        <f>IF(AND('Mapa final'!$Y$44="Alta",'Mapa final'!$AA$44="Moderado"),CONCATENATE("R6C",'Mapa final'!$O$44),"")</f>
        <v/>
      </c>
      <c r="AA21" s="68" t="str">
        <f>IF(AND('Mapa final'!$Y$45="Alta",'Mapa final'!$AA$45="Moderado"),CONCATENATE("R6C",'Mapa final'!$O$45),"")</f>
        <v/>
      </c>
      <c r="AB21" s="66" t="str">
        <f>IF(AND('Mapa final'!$Y$40="Alta",'Mapa final'!$AA$40="Mayor"),CONCATENATE("R6C",'Mapa final'!$O$40),"")</f>
        <v/>
      </c>
      <c r="AC21" s="67" t="str">
        <f>IF(AND('Mapa final'!$Y$41="Alta",'Mapa final'!$AA$41="Mayor"),CONCATENATE("R6C",'Mapa final'!$O$41),"")</f>
        <v/>
      </c>
      <c r="AD21" s="67" t="str">
        <f>IF(AND('Mapa final'!$Y$42="Alta",'Mapa final'!$AA$42="Mayor"),CONCATENATE("R6C",'Mapa final'!$O$42),"")</f>
        <v/>
      </c>
      <c r="AE21" s="67" t="str">
        <f>IF(AND('Mapa final'!$Y$43="Alta",'Mapa final'!$AA$43="Mayor"),CONCATENATE("R6C",'Mapa final'!$O$43),"")</f>
        <v/>
      </c>
      <c r="AF21" s="67" t="str">
        <f>IF(AND('Mapa final'!$Y$44="Alta",'Mapa final'!$AA$44="Mayor"),CONCATENATE("R6C",'Mapa final'!$O$44),"")</f>
        <v/>
      </c>
      <c r="AG21" s="68" t="str">
        <f>IF(AND('Mapa final'!$Y$45="Alta",'Mapa final'!$AA$45="Mayor"),CONCATENATE("R6C",'Mapa final'!$O$45),"")</f>
        <v/>
      </c>
      <c r="AH21" s="69" t="str">
        <f>IF(AND('Mapa final'!$Y$40="Alta",'Mapa final'!$AA$40="Catastrófico"),CONCATENATE("R6C",'Mapa final'!$O$40),"")</f>
        <v/>
      </c>
      <c r="AI21" s="70" t="str">
        <f>IF(AND('Mapa final'!$Y$41="Alta",'Mapa final'!$AA$41="Catastrófico"),CONCATENATE("R6C",'Mapa final'!$O$41),"")</f>
        <v/>
      </c>
      <c r="AJ21" s="70" t="str">
        <f>IF(AND('Mapa final'!$Y$42="Alta",'Mapa final'!$AA$42="Catastrófico"),CONCATENATE("R6C",'Mapa final'!$O$42),"")</f>
        <v/>
      </c>
      <c r="AK21" s="70" t="str">
        <f>IF(AND('Mapa final'!$Y$43="Alta",'Mapa final'!$AA$43="Catastrófico"),CONCATENATE("R6C",'Mapa final'!$O$43),"")</f>
        <v/>
      </c>
      <c r="AL21" s="70" t="str">
        <f>IF(AND('Mapa final'!$Y$44="Alta",'Mapa final'!$AA$44="Catastrófico"),CONCATENATE("R6C",'Mapa final'!$O$44),"")</f>
        <v/>
      </c>
      <c r="AM21" s="71" t="str">
        <f>IF(AND('Mapa final'!$Y$45="Alta",'Mapa final'!$AA$45="Catastrófico"),CONCATENATE("R6C",'Mapa final'!$O$45),"")</f>
        <v/>
      </c>
      <c r="AN21" s="97"/>
      <c r="AO21" s="335"/>
      <c r="AP21" s="336"/>
      <c r="AQ21" s="336"/>
      <c r="AR21" s="336"/>
      <c r="AS21" s="336"/>
      <c r="AT21" s="33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row>
    <row r="22" spans="1:76" ht="15" customHeight="1" x14ac:dyDescent="0.25">
      <c r="A22" s="97"/>
      <c r="B22" s="246"/>
      <c r="C22" s="246"/>
      <c r="D22" s="247"/>
      <c r="E22" s="345"/>
      <c r="F22" s="344"/>
      <c r="G22" s="344"/>
      <c r="H22" s="344"/>
      <c r="I22" s="344"/>
      <c r="J22" s="81" t="str">
        <f>IF(AND('Mapa final'!$Y$46="Alta",'Mapa final'!$AA$46="Leve"),CONCATENATE("R7C",'Mapa final'!$O$46),"")</f>
        <v/>
      </c>
      <c r="K22" s="82" t="str">
        <f>IF(AND('Mapa final'!$Y$47="Alta",'Mapa final'!$AA$47="Leve"),CONCATENATE("R7C",'Mapa final'!$O$47),"")</f>
        <v/>
      </c>
      <c r="L22" s="82" t="str">
        <f>IF(AND('Mapa final'!$Y$48="Alta",'Mapa final'!$AA$48="Leve"),CONCATENATE("R7C",'Mapa final'!$O$48),"")</f>
        <v/>
      </c>
      <c r="M22" s="82" t="str">
        <f>IF(AND('Mapa final'!$Y$49="Alta",'Mapa final'!$AA$49="Leve"),CONCATENATE("R7C",'Mapa final'!$O$49),"")</f>
        <v/>
      </c>
      <c r="N22" s="82" t="str">
        <f>IF(AND('Mapa final'!$Y$50="Alta",'Mapa final'!$AA$50="Leve"),CONCATENATE("R7C",'Mapa final'!$O$50),"")</f>
        <v/>
      </c>
      <c r="O22" s="83" t="str">
        <f>IF(AND('Mapa final'!$Y$51="Alta",'Mapa final'!$AA$51="Leve"),CONCATENATE("R7C",'Mapa final'!$O$51),"")</f>
        <v/>
      </c>
      <c r="P22" s="81" t="str">
        <f>IF(AND('Mapa final'!$Y$46="Alta",'Mapa final'!$AA$46="Menor"),CONCATENATE("R7C",'Mapa final'!$O$46),"")</f>
        <v/>
      </c>
      <c r="Q22" s="82" t="str">
        <f>IF(AND('Mapa final'!$Y$47="Alta",'Mapa final'!$AA$47="Menor"),CONCATENATE("R7C",'Mapa final'!$O$47),"")</f>
        <v/>
      </c>
      <c r="R22" s="82" t="str">
        <f>IF(AND('Mapa final'!$Y$48="Alta",'Mapa final'!$AA$48="Menor"),CONCATENATE("R7C",'Mapa final'!$O$48),"")</f>
        <v/>
      </c>
      <c r="S22" s="82" t="str">
        <f>IF(AND('Mapa final'!$Y$49="Alta",'Mapa final'!$AA$49="Menor"),CONCATENATE("R7C",'Mapa final'!$O$49),"")</f>
        <v/>
      </c>
      <c r="T22" s="82" t="str">
        <f>IF(AND('Mapa final'!$Y$50="Alta",'Mapa final'!$AA$50="Menor"),CONCATENATE("R7C",'Mapa final'!$O$50),"")</f>
        <v/>
      </c>
      <c r="U22" s="83" t="str">
        <f>IF(AND('Mapa final'!$Y$51="Alta",'Mapa final'!$AA$51="Menor"),CONCATENATE("R7C",'Mapa final'!$O$51),"")</f>
        <v/>
      </c>
      <c r="V22" s="66" t="str">
        <f>IF(AND('Mapa final'!$Y$46="Alta",'Mapa final'!$AA$46="Moderado"),CONCATENATE("R7C",'Mapa final'!$O$46),"")</f>
        <v/>
      </c>
      <c r="W22" s="67" t="str">
        <f>IF(AND('Mapa final'!$Y$47="Alta",'Mapa final'!$AA$47="Moderado"),CONCATENATE("R7C",'Mapa final'!$O$47),"")</f>
        <v/>
      </c>
      <c r="X22" s="67" t="str">
        <f>IF(AND('Mapa final'!$Y$48="Alta",'Mapa final'!$AA$48="Moderado"),CONCATENATE("R7C",'Mapa final'!$O$48),"")</f>
        <v/>
      </c>
      <c r="Y22" s="67" t="str">
        <f>IF(AND('Mapa final'!$Y$49="Alta",'Mapa final'!$AA$49="Moderado"),CONCATENATE("R7C",'Mapa final'!$O$49),"")</f>
        <v/>
      </c>
      <c r="Z22" s="67" t="str">
        <f>IF(AND('Mapa final'!$Y$50="Alta",'Mapa final'!$AA$50="Moderado"),CONCATENATE("R7C",'Mapa final'!$O$50),"")</f>
        <v/>
      </c>
      <c r="AA22" s="68" t="str">
        <f>IF(AND('Mapa final'!$Y$51="Alta",'Mapa final'!$AA$51="Moderado"),CONCATENATE("R7C",'Mapa final'!$O$51),"")</f>
        <v/>
      </c>
      <c r="AB22" s="66" t="str">
        <f>IF(AND('Mapa final'!$Y$46="Alta",'Mapa final'!$AA$46="Mayor"),CONCATENATE("R7C",'Mapa final'!$O$46),"")</f>
        <v/>
      </c>
      <c r="AC22" s="67" t="str">
        <f>IF(AND('Mapa final'!$Y$47="Alta",'Mapa final'!$AA$47="Mayor"),CONCATENATE("R7C",'Mapa final'!$O$47),"")</f>
        <v/>
      </c>
      <c r="AD22" s="67" t="str">
        <f>IF(AND('Mapa final'!$Y$48="Alta",'Mapa final'!$AA$48="Mayor"),CONCATENATE("R7C",'Mapa final'!$O$48),"")</f>
        <v/>
      </c>
      <c r="AE22" s="67" t="str">
        <f>IF(AND('Mapa final'!$Y$49="Alta",'Mapa final'!$AA$49="Mayor"),CONCATENATE("R7C",'Mapa final'!$O$49),"")</f>
        <v/>
      </c>
      <c r="AF22" s="67" t="str">
        <f>IF(AND('Mapa final'!$Y$50="Alta",'Mapa final'!$AA$50="Mayor"),CONCATENATE("R7C",'Mapa final'!$O$50),"")</f>
        <v/>
      </c>
      <c r="AG22" s="68" t="str">
        <f>IF(AND('Mapa final'!$Y$51="Alta",'Mapa final'!$AA$51="Mayor"),CONCATENATE("R7C",'Mapa final'!$O$51),"")</f>
        <v/>
      </c>
      <c r="AH22" s="69" t="str">
        <f>IF(AND('Mapa final'!$Y$46="Alta",'Mapa final'!$AA$46="Catastrófico"),CONCATENATE("R7C",'Mapa final'!$O$46),"")</f>
        <v/>
      </c>
      <c r="AI22" s="70" t="str">
        <f>IF(AND('Mapa final'!$Y$47="Alta",'Mapa final'!$AA$47="Catastrófico"),CONCATENATE("R7C",'Mapa final'!$O$47),"")</f>
        <v/>
      </c>
      <c r="AJ22" s="70" t="str">
        <f>IF(AND('Mapa final'!$Y$48="Alta",'Mapa final'!$AA$48="Catastrófico"),CONCATENATE("R7C",'Mapa final'!$O$48),"")</f>
        <v/>
      </c>
      <c r="AK22" s="70" t="str">
        <f>IF(AND('Mapa final'!$Y$49="Alta",'Mapa final'!$AA$49="Catastrófico"),CONCATENATE("R7C",'Mapa final'!$O$49),"")</f>
        <v/>
      </c>
      <c r="AL22" s="70" t="str">
        <f>IF(AND('Mapa final'!$Y$50="Alta",'Mapa final'!$AA$50="Catastrófico"),CONCATENATE("R7C",'Mapa final'!$O$50),"")</f>
        <v/>
      </c>
      <c r="AM22" s="71" t="str">
        <f>IF(AND('Mapa final'!$Y$51="Alta",'Mapa final'!$AA$51="Catastrófico"),CONCATENATE("R7C",'Mapa final'!$O$51),"")</f>
        <v/>
      </c>
      <c r="AN22" s="97"/>
      <c r="AO22" s="335"/>
      <c r="AP22" s="336"/>
      <c r="AQ22" s="336"/>
      <c r="AR22" s="336"/>
      <c r="AS22" s="336"/>
      <c r="AT22" s="33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row>
    <row r="23" spans="1:76" ht="15" customHeight="1" x14ac:dyDescent="0.25">
      <c r="A23" s="97"/>
      <c r="B23" s="246"/>
      <c r="C23" s="246"/>
      <c r="D23" s="247"/>
      <c r="E23" s="345"/>
      <c r="F23" s="344"/>
      <c r="G23" s="344"/>
      <c r="H23" s="344"/>
      <c r="I23" s="344"/>
      <c r="J23" s="81" t="str">
        <f>IF(AND('Mapa final'!$Y$52="Alta",'Mapa final'!$AA$52="Leve"),CONCATENATE("R8C",'Mapa final'!$O$52),"")</f>
        <v/>
      </c>
      <c r="K23" s="82" t="str">
        <f>IF(AND('Mapa final'!$Y$53="Alta",'Mapa final'!$AA$53="Leve"),CONCATENATE("R8C",'Mapa final'!$O$53),"")</f>
        <v/>
      </c>
      <c r="L23" s="82" t="str">
        <f>IF(AND('Mapa final'!$Y$54="Alta",'Mapa final'!$AA$54="Leve"),CONCATENATE("R8C",'Mapa final'!$O$54),"")</f>
        <v/>
      </c>
      <c r="M23" s="82" t="str">
        <f>IF(AND('Mapa final'!$Y$55="Alta",'Mapa final'!$AA$55="Leve"),CONCATENATE("R8C",'Mapa final'!$O$55),"")</f>
        <v/>
      </c>
      <c r="N23" s="82" t="str">
        <f>IF(AND('Mapa final'!$Y$56="Alta",'Mapa final'!$AA$56="Leve"),CONCATENATE("R8C",'Mapa final'!$O$56),"")</f>
        <v/>
      </c>
      <c r="O23" s="83" t="str">
        <f>IF(AND('Mapa final'!$Y$57="Alta",'Mapa final'!$AA$57="Leve"),CONCATENATE("R8C",'Mapa final'!$O$57),"")</f>
        <v/>
      </c>
      <c r="P23" s="81" t="str">
        <f>IF(AND('Mapa final'!$Y$52="Alta",'Mapa final'!$AA$52="Menor"),CONCATENATE("R8C",'Mapa final'!$O$52),"")</f>
        <v/>
      </c>
      <c r="Q23" s="82" t="str">
        <f>IF(AND('Mapa final'!$Y$53="Alta",'Mapa final'!$AA$53="Menor"),CONCATENATE("R8C",'Mapa final'!$O$53),"")</f>
        <v/>
      </c>
      <c r="R23" s="82" t="str">
        <f>IF(AND('Mapa final'!$Y$54="Alta",'Mapa final'!$AA$54="Menor"),CONCATENATE("R8C",'Mapa final'!$O$54),"")</f>
        <v/>
      </c>
      <c r="S23" s="82" t="str">
        <f>IF(AND('Mapa final'!$Y$55="Alta",'Mapa final'!$AA$55="Menor"),CONCATENATE("R8C",'Mapa final'!$O$55),"")</f>
        <v/>
      </c>
      <c r="T23" s="82" t="str">
        <f>IF(AND('Mapa final'!$Y$56="Alta",'Mapa final'!$AA$56="Menor"),CONCATENATE("R8C",'Mapa final'!$O$56),"")</f>
        <v/>
      </c>
      <c r="U23" s="83" t="str">
        <f>IF(AND('Mapa final'!$Y$57="Alta",'Mapa final'!$AA$57="Menor"),CONCATENATE("R8C",'Mapa final'!$O$57),"")</f>
        <v/>
      </c>
      <c r="V23" s="66" t="str">
        <f>IF(AND('Mapa final'!$Y$52="Alta",'Mapa final'!$AA$52="Moderado"),CONCATENATE("R8C",'Mapa final'!$O$52),"")</f>
        <v/>
      </c>
      <c r="W23" s="67" t="str">
        <f>IF(AND('Mapa final'!$Y$53="Alta",'Mapa final'!$AA$53="Moderado"),CONCATENATE("R8C",'Mapa final'!$O$53),"")</f>
        <v/>
      </c>
      <c r="X23" s="67" t="str">
        <f>IF(AND('Mapa final'!$Y$54="Alta",'Mapa final'!$AA$54="Moderado"),CONCATENATE("R8C",'Mapa final'!$O$54),"")</f>
        <v/>
      </c>
      <c r="Y23" s="67" t="str">
        <f>IF(AND('Mapa final'!$Y$55="Alta",'Mapa final'!$AA$55="Moderado"),CONCATENATE("R8C",'Mapa final'!$O$55),"")</f>
        <v/>
      </c>
      <c r="Z23" s="67" t="str">
        <f>IF(AND('Mapa final'!$Y$56="Alta",'Mapa final'!$AA$56="Moderado"),CONCATENATE("R8C",'Mapa final'!$O$56),"")</f>
        <v/>
      </c>
      <c r="AA23" s="68" t="str">
        <f>IF(AND('Mapa final'!$Y$57="Alta",'Mapa final'!$AA$57="Moderado"),CONCATENATE("R8C",'Mapa final'!$O$57),"")</f>
        <v/>
      </c>
      <c r="AB23" s="66" t="str">
        <f>IF(AND('Mapa final'!$Y$52="Alta",'Mapa final'!$AA$52="Mayor"),CONCATENATE("R8C",'Mapa final'!$O$52),"")</f>
        <v/>
      </c>
      <c r="AC23" s="67" t="str">
        <f>IF(AND('Mapa final'!$Y$53="Alta",'Mapa final'!$AA$53="Mayor"),CONCATENATE("R8C",'Mapa final'!$O$53),"")</f>
        <v/>
      </c>
      <c r="AD23" s="67" t="str">
        <f>IF(AND('Mapa final'!$Y$54="Alta",'Mapa final'!$AA$54="Mayor"),CONCATENATE("R8C",'Mapa final'!$O$54),"")</f>
        <v/>
      </c>
      <c r="AE23" s="67" t="str">
        <f>IF(AND('Mapa final'!$Y$55="Alta",'Mapa final'!$AA$55="Mayor"),CONCATENATE("R8C",'Mapa final'!$O$55),"")</f>
        <v/>
      </c>
      <c r="AF23" s="67" t="str">
        <f>IF(AND('Mapa final'!$Y$56="Alta",'Mapa final'!$AA$56="Mayor"),CONCATENATE("R8C",'Mapa final'!$O$56),"")</f>
        <v/>
      </c>
      <c r="AG23" s="68" t="str">
        <f>IF(AND('Mapa final'!$Y$57="Alta",'Mapa final'!$AA$57="Mayor"),CONCATENATE("R8C",'Mapa final'!$O$57),"")</f>
        <v/>
      </c>
      <c r="AH23" s="69" t="str">
        <f>IF(AND('Mapa final'!$Y$52="Alta",'Mapa final'!$AA$52="Catastrófico"),CONCATENATE("R8C",'Mapa final'!$O$52),"")</f>
        <v/>
      </c>
      <c r="AI23" s="70" t="str">
        <f>IF(AND('Mapa final'!$Y$53="Alta",'Mapa final'!$AA$53="Catastrófico"),CONCATENATE("R8C",'Mapa final'!$O$53),"")</f>
        <v/>
      </c>
      <c r="AJ23" s="70" t="str">
        <f>IF(AND('Mapa final'!$Y$54="Alta",'Mapa final'!$AA$54="Catastrófico"),CONCATENATE("R8C",'Mapa final'!$O$54),"")</f>
        <v/>
      </c>
      <c r="AK23" s="70" t="str">
        <f>IF(AND('Mapa final'!$Y$55="Alta",'Mapa final'!$AA$55="Catastrófico"),CONCATENATE("R8C",'Mapa final'!$O$55),"")</f>
        <v/>
      </c>
      <c r="AL23" s="70" t="str">
        <f>IF(AND('Mapa final'!$Y$56="Alta",'Mapa final'!$AA$56="Catastrófico"),CONCATENATE("R8C",'Mapa final'!$O$56),"")</f>
        <v/>
      </c>
      <c r="AM23" s="71" t="str">
        <f>IF(AND('Mapa final'!$Y$57="Alta",'Mapa final'!$AA$57="Catastrófico"),CONCATENATE("R8C",'Mapa final'!$O$57),"")</f>
        <v/>
      </c>
      <c r="AN23" s="97"/>
      <c r="AO23" s="335"/>
      <c r="AP23" s="336"/>
      <c r="AQ23" s="336"/>
      <c r="AR23" s="336"/>
      <c r="AS23" s="336"/>
      <c r="AT23" s="33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row>
    <row r="24" spans="1:76" ht="15" customHeight="1" x14ac:dyDescent="0.25">
      <c r="A24" s="97"/>
      <c r="B24" s="246"/>
      <c r="C24" s="246"/>
      <c r="D24" s="247"/>
      <c r="E24" s="345"/>
      <c r="F24" s="344"/>
      <c r="G24" s="344"/>
      <c r="H24" s="344"/>
      <c r="I24" s="344"/>
      <c r="J24" s="81" t="str">
        <f>IF(AND('Mapa final'!$Y$58="Alta",'Mapa final'!$AA$58="Leve"),CONCATENATE("R9C",'Mapa final'!$O$58),"")</f>
        <v/>
      </c>
      <c r="K24" s="82" t="str">
        <f>IF(AND('Mapa final'!$Y$59="Alta",'Mapa final'!$AA$59="Leve"),CONCATENATE("R9C",'Mapa final'!$O$59),"")</f>
        <v/>
      </c>
      <c r="L24" s="82" t="str">
        <f>IF(AND('Mapa final'!$Y$60="Alta",'Mapa final'!$AA$60="Leve"),CONCATENATE("R9C",'Mapa final'!$O$60),"")</f>
        <v/>
      </c>
      <c r="M24" s="82" t="str">
        <f>IF(AND('Mapa final'!$Y$61="Alta",'Mapa final'!$AA$61="Leve"),CONCATENATE("R9C",'Mapa final'!$O$61),"")</f>
        <v/>
      </c>
      <c r="N24" s="82" t="str">
        <f>IF(AND('Mapa final'!$Y$62="Alta",'Mapa final'!$AA$62="Leve"),CONCATENATE("R9C",'Mapa final'!$O$62),"")</f>
        <v/>
      </c>
      <c r="O24" s="83" t="str">
        <f>IF(AND('Mapa final'!$Y$63="Alta",'Mapa final'!$AA$63="Leve"),CONCATENATE("R9C",'Mapa final'!$O$63),"")</f>
        <v/>
      </c>
      <c r="P24" s="81" t="str">
        <f>IF(AND('Mapa final'!$Y$58="Alta",'Mapa final'!$AA$58="Menor"),CONCATENATE("R9C",'Mapa final'!$O$58),"")</f>
        <v/>
      </c>
      <c r="Q24" s="82" t="str">
        <f>IF(AND('Mapa final'!$Y$59="Alta",'Mapa final'!$AA$59="Menor"),CONCATENATE("R9C",'Mapa final'!$O$59),"")</f>
        <v/>
      </c>
      <c r="R24" s="82" t="str">
        <f>IF(AND('Mapa final'!$Y$60="Alta",'Mapa final'!$AA$60="Menor"),CONCATENATE("R9C",'Mapa final'!$O$60),"")</f>
        <v/>
      </c>
      <c r="S24" s="82" t="str">
        <f>IF(AND('Mapa final'!$Y$61="Alta",'Mapa final'!$AA$61="Menor"),CONCATENATE("R9C",'Mapa final'!$O$61),"")</f>
        <v/>
      </c>
      <c r="T24" s="82" t="str">
        <f>IF(AND('Mapa final'!$Y$62="Alta",'Mapa final'!$AA$62="Menor"),CONCATENATE("R9C",'Mapa final'!$O$62),"")</f>
        <v/>
      </c>
      <c r="U24" s="83" t="str">
        <f>IF(AND('Mapa final'!$Y$63="Alta",'Mapa final'!$AA$63="Menor"),CONCATENATE("R9C",'Mapa final'!$O$63),"")</f>
        <v/>
      </c>
      <c r="V24" s="66" t="str">
        <f>IF(AND('Mapa final'!$Y$58="Alta",'Mapa final'!$AA$58="Moderado"),CONCATENATE("R9C",'Mapa final'!$O$58),"")</f>
        <v/>
      </c>
      <c r="W24" s="67" t="str">
        <f>IF(AND('Mapa final'!$Y$59="Alta",'Mapa final'!$AA$59="Moderado"),CONCATENATE("R9C",'Mapa final'!$O$59),"")</f>
        <v/>
      </c>
      <c r="X24" s="67" t="str">
        <f>IF(AND('Mapa final'!$Y$60="Alta",'Mapa final'!$AA$60="Moderado"),CONCATENATE("R9C",'Mapa final'!$O$60),"")</f>
        <v/>
      </c>
      <c r="Y24" s="67" t="str">
        <f>IF(AND('Mapa final'!$Y$61="Alta",'Mapa final'!$AA$61="Moderado"),CONCATENATE("R9C",'Mapa final'!$O$61),"")</f>
        <v/>
      </c>
      <c r="Z24" s="67" t="str">
        <f>IF(AND('Mapa final'!$Y$62="Alta",'Mapa final'!$AA$62="Moderado"),CONCATENATE("R9C",'Mapa final'!$O$62),"")</f>
        <v/>
      </c>
      <c r="AA24" s="68" t="str">
        <f>IF(AND('Mapa final'!$Y$63="Alta",'Mapa final'!$AA$63="Moderado"),CONCATENATE("R9C",'Mapa final'!$O$63),"")</f>
        <v/>
      </c>
      <c r="AB24" s="66" t="str">
        <f>IF(AND('Mapa final'!$Y$58="Alta",'Mapa final'!$AA$58="Mayor"),CONCATENATE("R9C",'Mapa final'!$O$58),"")</f>
        <v/>
      </c>
      <c r="AC24" s="67" t="str">
        <f>IF(AND('Mapa final'!$Y$59="Alta",'Mapa final'!$AA$59="Mayor"),CONCATENATE("R9C",'Mapa final'!$O$59),"")</f>
        <v/>
      </c>
      <c r="AD24" s="67" t="str">
        <f>IF(AND('Mapa final'!$Y$60="Alta",'Mapa final'!$AA$60="Mayor"),CONCATENATE("R9C",'Mapa final'!$O$60),"")</f>
        <v/>
      </c>
      <c r="AE24" s="67" t="str">
        <f>IF(AND('Mapa final'!$Y$61="Alta",'Mapa final'!$AA$61="Mayor"),CONCATENATE("R9C",'Mapa final'!$O$61),"")</f>
        <v/>
      </c>
      <c r="AF24" s="67" t="str">
        <f>IF(AND('Mapa final'!$Y$62="Alta",'Mapa final'!$AA$62="Mayor"),CONCATENATE("R9C",'Mapa final'!$O$62),"")</f>
        <v/>
      </c>
      <c r="AG24" s="68" t="str">
        <f>IF(AND('Mapa final'!$Y$63="Alta",'Mapa final'!$AA$63="Mayor"),CONCATENATE("R9C",'Mapa final'!$O$63),"")</f>
        <v/>
      </c>
      <c r="AH24" s="69" t="str">
        <f>IF(AND('Mapa final'!$Y$58="Alta",'Mapa final'!$AA$58="Catastrófico"),CONCATENATE("R9C",'Mapa final'!$O$58),"")</f>
        <v/>
      </c>
      <c r="AI24" s="70" t="str">
        <f>IF(AND('Mapa final'!$Y$59="Alta",'Mapa final'!$AA$59="Catastrófico"),CONCATENATE("R9C",'Mapa final'!$O$59),"")</f>
        <v/>
      </c>
      <c r="AJ24" s="70" t="str">
        <f>IF(AND('Mapa final'!$Y$60="Alta",'Mapa final'!$AA$60="Catastrófico"),CONCATENATE("R9C",'Mapa final'!$O$60),"")</f>
        <v/>
      </c>
      <c r="AK24" s="70" t="str">
        <f>IF(AND('Mapa final'!$Y$61="Alta",'Mapa final'!$AA$61="Catastrófico"),CONCATENATE("R9C",'Mapa final'!$O$61),"")</f>
        <v/>
      </c>
      <c r="AL24" s="70" t="str">
        <f>IF(AND('Mapa final'!$Y$62="Alta",'Mapa final'!$AA$62="Catastrófico"),CONCATENATE("R9C",'Mapa final'!$O$62),"")</f>
        <v/>
      </c>
      <c r="AM24" s="71" t="str">
        <f>IF(AND('Mapa final'!$Y$63="Alta",'Mapa final'!$AA$63="Catastrófico"),CONCATENATE("R9C",'Mapa final'!$O$63),"")</f>
        <v/>
      </c>
      <c r="AN24" s="97"/>
      <c r="AO24" s="335"/>
      <c r="AP24" s="336"/>
      <c r="AQ24" s="336"/>
      <c r="AR24" s="336"/>
      <c r="AS24" s="336"/>
      <c r="AT24" s="33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row>
    <row r="25" spans="1:76" ht="15.75" customHeight="1" thickBot="1" x14ac:dyDescent="0.3">
      <c r="A25" s="97"/>
      <c r="B25" s="246"/>
      <c r="C25" s="246"/>
      <c r="D25" s="247"/>
      <c r="E25" s="346"/>
      <c r="F25" s="347"/>
      <c r="G25" s="347"/>
      <c r="H25" s="347"/>
      <c r="I25" s="347"/>
      <c r="J25" s="84" t="str">
        <f>IF(AND('Mapa final'!$Y$64="Alta",'Mapa final'!$AA$64="Leve"),CONCATENATE("R10C",'Mapa final'!$O$64),"")</f>
        <v/>
      </c>
      <c r="K25" s="85" t="str">
        <f>IF(AND('Mapa final'!$Y$65="Alta",'Mapa final'!$AA$65="Leve"),CONCATENATE("R10C",'Mapa final'!$O$65),"")</f>
        <v/>
      </c>
      <c r="L25" s="85" t="str">
        <f>IF(AND('Mapa final'!$Y$66="Alta",'Mapa final'!$AA$66="Leve"),CONCATENATE("R10C",'Mapa final'!$O$66),"")</f>
        <v/>
      </c>
      <c r="M25" s="85" t="str">
        <f>IF(AND('Mapa final'!$Y$67="Alta",'Mapa final'!$AA$67="Leve"),CONCATENATE("R10C",'Mapa final'!$O$67),"")</f>
        <v/>
      </c>
      <c r="N25" s="85" t="str">
        <f>IF(AND('Mapa final'!$Y$68="Alta",'Mapa final'!$AA$68="Leve"),CONCATENATE("R10C",'Mapa final'!$O$68),"")</f>
        <v/>
      </c>
      <c r="O25" s="86" t="str">
        <f>IF(AND('Mapa final'!$Y$69="Alta",'Mapa final'!$AA$69="Leve"),CONCATENATE("R10C",'Mapa final'!$O$69),"")</f>
        <v/>
      </c>
      <c r="P25" s="84" t="str">
        <f>IF(AND('Mapa final'!$Y$64="Alta",'Mapa final'!$AA$64="Menor"),CONCATENATE("R10C",'Mapa final'!$O$64),"")</f>
        <v/>
      </c>
      <c r="Q25" s="85" t="str">
        <f>IF(AND('Mapa final'!$Y$65="Alta",'Mapa final'!$AA$65="Menor"),CONCATENATE("R10C",'Mapa final'!$O$65),"")</f>
        <v/>
      </c>
      <c r="R25" s="85" t="str">
        <f>IF(AND('Mapa final'!$Y$66="Alta",'Mapa final'!$AA$66="Menor"),CONCATENATE("R10C",'Mapa final'!$O$66),"")</f>
        <v/>
      </c>
      <c r="S25" s="85" t="str">
        <f>IF(AND('Mapa final'!$Y$67="Alta",'Mapa final'!$AA$67="Menor"),CONCATENATE("R10C",'Mapa final'!$O$67),"")</f>
        <v/>
      </c>
      <c r="T25" s="85" t="str">
        <f>IF(AND('Mapa final'!$Y$68="Alta",'Mapa final'!$AA$68="Menor"),CONCATENATE("R10C",'Mapa final'!$O$68),"")</f>
        <v/>
      </c>
      <c r="U25" s="86" t="str">
        <f>IF(AND('Mapa final'!$Y$69="Alta",'Mapa final'!$AA$69="Menor"),CONCATENATE("R10C",'Mapa final'!$O$69),"")</f>
        <v/>
      </c>
      <c r="V25" s="72" t="str">
        <f>IF(AND('Mapa final'!$Y$64="Alta",'Mapa final'!$AA$64="Moderado"),CONCATENATE("R10C",'Mapa final'!$O$64),"")</f>
        <v/>
      </c>
      <c r="W25" s="73" t="str">
        <f>IF(AND('Mapa final'!$Y$65="Alta",'Mapa final'!$AA$65="Moderado"),CONCATENATE("R10C",'Mapa final'!$O$65),"")</f>
        <v/>
      </c>
      <c r="X25" s="73" t="str">
        <f>IF(AND('Mapa final'!$Y$66="Alta",'Mapa final'!$AA$66="Moderado"),CONCATENATE("R10C",'Mapa final'!$O$66),"")</f>
        <v/>
      </c>
      <c r="Y25" s="73" t="str">
        <f>IF(AND('Mapa final'!$Y$67="Alta",'Mapa final'!$AA$67="Moderado"),CONCATENATE("R10C",'Mapa final'!$O$67),"")</f>
        <v/>
      </c>
      <c r="Z25" s="73" t="str">
        <f>IF(AND('Mapa final'!$Y$68="Alta",'Mapa final'!$AA$68="Moderado"),CONCATENATE("R10C",'Mapa final'!$O$68),"")</f>
        <v/>
      </c>
      <c r="AA25" s="74" t="str">
        <f>IF(AND('Mapa final'!$Y$69="Alta",'Mapa final'!$AA$69="Moderado"),CONCATENATE("R10C",'Mapa final'!$O$69),"")</f>
        <v/>
      </c>
      <c r="AB25" s="72" t="str">
        <f>IF(AND('Mapa final'!$Y$64="Alta",'Mapa final'!$AA$64="Mayor"),CONCATENATE("R10C",'Mapa final'!$O$64),"")</f>
        <v/>
      </c>
      <c r="AC25" s="73" t="str">
        <f>IF(AND('Mapa final'!$Y$65="Alta",'Mapa final'!$AA$65="Mayor"),CONCATENATE("R10C",'Mapa final'!$O$65),"")</f>
        <v/>
      </c>
      <c r="AD25" s="73" t="str">
        <f>IF(AND('Mapa final'!$Y$66="Alta",'Mapa final'!$AA$66="Mayor"),CONCATENATE("R10C",'Mapa final'!$O$66),"")</f>
        <v/>
      </c>
      <c r="AE25" s="73" t="str">
        <f>IF(AND('Mapa final'!$Y$67="Alta",'Mapa final'!$AA$67="Mayor"),CONCATENATE("R10C",'Mapa final'!$O$67),"")</f>
        <v/>
      </c>
      <c r="AF25" s="73" t="str">
        <f>IF(AND('Mapa final'!$Y$68="Alta",'Mapa final'!$AA$68="Mayor"),CONCATENATE("R10C",'Mapa final'!$O$68),"")</f>
        <v/>
      </c>
      <c r="AG25" s="74" t="str">
        <f>IF(AND('Mapa final'!$Y$69="Alta",'Mapa final'!$AA$69="Mayor"),CONCATENATE("R10C",'Mapa final'!$O$69),"")</f>
        <v/>
      </c>
      <c r="AH25" s="75" t="str">
        <f>IF(AND('Mapa final'!$Y$64="Alta",'Mapa final'!$AA$64="Catastrófico"),CONCATENATE("R10C",'Mapa final'!$O$64),"")</f>
        <v/>
      </c>
      <c r="AI25" s="76" t="str">
        <f>IF(AND('Mapa final'!$Y$65="Alta",'Mapa final'!$AA$65="Catastrófico"),CONCATENATE("R10C",'Mapa final'!$O$65),"")</f>
        <v/>
      </c>
      <c r="AJ25" s="76" t="str">
        <f>IF(AND('Mapa final'!$Y$66="Alta",'Mapa final'!$AA$66="Catastrófico"),CONCATENATE("R10C",'Mapa final'!$O$66),"")</f>
        <v/>
      </c>
      <c r="AK25" s="76" t="str">
        <f>IF(AND('Mapa final'!$Y$67="Alta",'Mapa final'!$AA$67="Catastrófico"),CONCATENATE("R10C",'Mapa final'!$O$67),"")</f>
        <v/>
      </c>
      <c r="AL25" s="76" t="str">
        <f>IF(AND('Mapa final'!$Y$68="Alta",'Mapa final'!$AA$68="Catastrófico"),CONCATENATE("R10C",'Mapa final'!$O$68),"")</f>
        <v/>
      </c>
      <c r="AM25" s="77" t="str">
        <f>IF(AND('Mapa final'!$Y$69="Alta",'Mapa final'!$AA$69="Catastrófico"),CONCATENATE("R10C",'Mapa final'!$O$69),"")</f>
        <v/>
      </c>
      <c r="AN25" s="97"/>
      <c r="AO25" s="338"/>
      <c r="AP25" s="339"/>
      <c r="AQ25" s="339"/>
      <c r="AR25" s="339"/>
      <c r="AS25" s="339"/>
      <c r="AT25" s="340"/>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row>
    <row r="26" spans="1:76" ht="15" customHeight="1" x14ac:dyDescent="0.25">
      <c r="A26" s="97"/>
      <c r="B26" s="246"/>
      <c r="C26" s="246"/>
      <c r="D26" s="247"/>
      <c r="E26" s="341" t="s">
        <v>117</v>
      </c>
      <c r="F26" s="342"/>
      <c r="G26" s="342"/>
      <c r="H26" s="342"/>
      <c r="I26" s="359"/>
      <c r="J26" s="78" t="str">
        <f>IF(AND('Mapa final'!$Y$10="Media",'Mapa final'!$AA$10="Leve"),CONCATENATE("R1C",'Mapa final'!$O$10),"")</f>
        <v/>
      </c>
      <c r="K26" s="79" t="str">
        <f>IF(AND('Mapa final'!$Y$11="Media",'Mapa final'!$AA$11="Leve"),CONCATENATE("R1C",'Mapa final'!$O$11),"")</f>
        <v/>
      </c>
      <c r="L26" s="79" t="str">
        <f>IF(AND('Mapa final'!$Y$12="Media",'Mapa final'!$AA$12="Leve"),CONCATENATE("R1C",'Mapa final'!$O$12),"")</f>
        <v/>
      </c>
      <c r="M26" s="79" t="str">
        <f>IF(AND('Mapa final'!$Y$13="Media",'Mapa final'!$AA$13="Leve"),CONCATENATE("R1C",'Mapa final'!$O$13),"")</f>
        <v/>
      </c>
      <c r="N26" s="79" t="str">
        <f>IF(AND('Mapa final'!$Y$14="Media",'Mapa final'!$AA$14="Leve"),CONCATENATE("R1C",'Mapa final'!$O$14),"")</f>
        <v/>
      </c>
      <c r="O26" s="80" t="str">
        <f>IF(AND('Mapa final'!$Y$15="Media",'Mapa final'!$AA$15="Leve"),CONCATENATE("R1C",'Mapa final'!$O$15),"")</f>
        <v/>
      </c>
      <c r="P26" s="78" t="str">
        <f>IF(AND('Mapa final'!$Y$10="Media",'Mapa final'!$AA$10="Menor"),CONCATENATE("R1C",'Mapa final'!$O$10),"")</f>
        <v/>
      </c>
      <c r="Q26" s="79" t="str">
        <f>IF(AND('Mapa final'!$Y$11="Media",'Mapa final'!$AA$11="Menor"),CONCATENATE("R1C",'Mapa final'!$O$11),"")</f>
        <v/>
      </c>
      <c r="R26" s="79" t="str">
        <f>IF(AND('Mapa final'!$Y$12="Media",'Mapa final'!$AA$12="Menor"),CONCATENATE("R1C",'Mapa final'!$O$12),"")</f>
        <v/>
      </c>
      <c r="S26" s="79" t="str">
        <f>IF(AND('Mapa final'!$Y$13="Media",'Mapa final'!$AA$13="Menor"),CONCATENATE("R1C",'Mapa final'!$O$13),"")</f>
        <v/>
      </c>
      <c r="T26" s="79" t="str">
        <f>IF(AND('Mapa final'!$Y$14="Media",'Mapa final'!$AA$14="Menor"),CONCATENATE("R1C",'Mapa final'!$O$14),"")</f>
        <v/>
      </c>
      <c r="U26" s="80" t="str">
        <f>IF(AND('Mapa final'!$Y$15="Media",'Mapa final'!$AA$15="Menor"),CONCATENATE("R1C",'Mapa final'!$O$15),"")</f>
        <v/>
      </c>
      <c r="V26" s="78" t="str">
        <f>IF(AND('Mapa final'!$Y$10="Media",'Mapa final'!$AA$10="Moderado"),CONCATENATE("R1C",'Mapa final'!$O$10),"")</f>
        <v/>
      </c>
      <c r="W26" s="79" t="str">
        <f>IF(AND('Mapa final'!$Y$11="Media",'Mapa final'!$AA$11="Moderado"),CONCATENATE("R1C",'Mapa final'!$O$11),"")</f>
        <v/>
      </c>
      <c r="X26" s="79" t="str">
        <f>IF(AND('Mapa final'!$Y$12="Media",'Mapa final'!$AA$12="Moderado"),CONCATENATE("R1C",'Mapa final'!$O$12),"")</f>
        <v/>
      </c>
      <c r="Y26" s="79" t="str">
        <f>IF(AND('Mapa final'!$Y$13="Media",'Mapa final'!$AA$13="Moderado"),CONCATENATE("R1C",'Mapa final'!$O$13),"")</f>
        <v/>
      </c>
      <c r="Z26" s="79" t="str">
        <f>IF(AND('Mapa final'!$Y$14="Media",'Mapa final'!$AA$14="Moderado"),CONCATENATE("R1C",'Mapa final'!$O$14),"")</f>
        <v/>
      </c>
      <c r="AA26" s="80" t="str">
        <f>IF(AND('Mapa final'!$Y$15="Media",'Mapa final'!$AA$15="Moderado"),CONCATENATE("R1C",'Mapa final'!$O$15),"")</f>
        <v/>
      </c>
      <c r="AB26" s="60" t="str">
        <f>IF(AND('Mapa final'!$Y$10="Media",'Mapa final'!$AA$10="Mayor"),CONCATENATE("R1C",'Mapa final'!$O$10),"")</f>
        <v/>
      </c>
      <c r="AC26" s="61" t="str">
        <f>IF(AND('Mapa final'!$Y$11="Media",'Mapa final'!$AA$11="Mayor"),CONCATENATE("R1C",'Mapa final'!$O$11),"")</f>
        <v/>
      </c>
      <c r="AD26" s="61" t="str">
        <f>IF(AND('Mapa final'!$Y$12="Media",'Mapa final'!$AA$12="Mayor"),CONCATENATE("R1C",'Mapa final'!$O$12),"")</f>
        <v/>
      </c>
      <c r="AE26" s="61" t="str">
        <f>IF(AND('Mapa final'!$Y$13="Media",'Mapa final'!$AA$13="Mayor"),CONCATENATE("R1C",'Mapa final'!$O$13),"")</f>
        <v/>
      </c>
      <c r="AF26" s="61" t="str">
        <f>IF(AND('Mapa final'!$Y$14="Media",'Mapa final'!$AA$14="Mayor"),CONCATENATE("R1C",'Mapa final'!$O$14),"")</f>
        <v/>
      </c>
      <c r="AG26" s="62" t="str">
        <f>IF(AND('Mapa final'!$Y$15="Media",'Mapa final'!$AA$15="Mayor"),CONCATENATE("R1C",'Mapa final'!$O$15),"")</f>
        <v/>
      </c>
      <c r="AH26" s="63" t="str">
        <f>IF(AND('Mapa final'!$Y$10="Media",'Mapa final'!$AA$10="Catastrófico"),CONCATENATE("R1C",'Mapa final'!$O$10),"")</f>
        <v/>
      </c>
      <c r="AI26" s="64" t="str">
        <f>IF(AND('Mapa final'!$Y$11="Media",'Mapa final'!$AA$11="Catastrófico"),CONCATENATE("R1C",'Mapa final'!$O$11),"")</f>
        <v/>
      </c>
      <c r="AJ26" s="64" t="str">
        <f>IF(AND('Mapa final'!$Y$12="Media",'Mapa final'!$AA$12="Catastrófico"),CONCATENATE("R1C",'Mapa final'!$O$12),"")</f>
        <v/>
      </c>
      <c r="AK26" s="64" t="str">
        <f>IF(AND('Mapa final'!$Y$13="Media",'Mapa final'!$AA$13="Catastrófico"),CONCATENATE("R1C",'Mapa final'!$O$13),"")</f>
        <v/>
      </c>
      <c r="AL26" s="64" t="str">
        <f>IF(AND('Mapa final'!$Y$14="Media",'Mapa final'!$AA$14="Catastrófico"),CONCATENATE("R1C",'Mapa final'!$O$14),"")</f>
        <v/>
      </c>
      <c r="AM26" s="65" t="str">
        <f>IF(AND('Mapa final'!$Y$15="Media",'Mapa final'!$AA$15="Catastrófico"),CONCATENATE("R1C",'Mapa final'!$O$15),"")</f>
        <v/>
      </c>
      <c r="AN26" s="97"/>
      <c r="AO26" s="371" t="s">
        <v>81</v>
      </c>
      <c r="AP26" s="372"/>
      <c r="AQ26" s="372"/>
      <c r="AR26" s="372"/>
      <c r="AS26" s="372"/>
      <c r="AT26" s="373"/>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row>
    <row r="27" spans="1:76" ht="15" customHeight="1" x14ac:dyDescent="0.25">
      <c r="A27" s="97"/>
      <c r="B27" s="246"/>
      <c r="C27" s="246"/>
      <c r="D27" s="247"/>
      <c r="E27" s="343"/>
      <c r="F27" s="344"/>
      <c r="G27" s="344"/>
      <c r="H27" s="344"/>
      <c r="I27" s="360"/>
      <c r="J27" s="81" t="str">
        <f>IF(AND('Mapa final'!$Y$16="Media",'Mapa final'!$AA$16="Leve"),CONCATENATE("R2C",'Mapa final'!$O$16),"")</f>
        <v/>
      </c>
      <c r="K27" s="82" t="str">
        <f>IF(AND('Mapa final'!$Y$17="Media",'Mapa final'!$AA$17="Leve"),CONCATENATE("R2C",'Mapa final'!$O$17),"")</f>
        <v/>
      </c>
      <c r="L27" s="82" t="str">
        <f>IF(AND('Mapa final'!$Y$18="Media",'Mapa final'!$AA$18="Leve"),CONCATENATE("R2C",'Mapa final'!$O$18),"")</f>
        <v/>
      </c>
      <c r="M27" s="82" t="str">
        <f>IF(AND('Mapa final'!$Y$19="Media",'Mapa final'!$AA$19="Leve"),CONCATENATE("R2C",'Mapa final'!$O$19),"")</f>
        <v/>
      </c>
      <c r="N27" s="82" t="str">
        <f>IF(AND('Mapa final'!$Y$20="Media",'Mapa final'!$AA$20="Leve"),CONCATENATE("R2C",'Mapa final'!$O$20),"")</f>
        <v/>
      </c>
      <c r="O27" s="83" t="str">
        <f>IF(AND('Mapa final'!$Y$21="Media",'Mapa final'!$AA$21="Leve"),CONCATENATE("R2C",'Mapa final'!$O$21),"")</f>
        <v/>
      </c>
      <c r="P27" s="81" t="str">
        <f>IF(AND('Mapa final'!$Y$16="Media",'Mapa final'!$AA$16="Menor"),CONCATENATE("R2C",'Mapa final'!$O$16),"")</f>
        <v/>
      </c>
      <c r="Q27" s="82" t="str">
        <f>IF(AND('Mapa final'!$Y$17="Media",'Mapa final'!$AA$17="Menor"),CONCATENATE("R2C",'Mapa final'!$O$17),"")</f>
        <v/>
      </c>
      <c r="R27" s="82" t="str">
        <f>IF(AND('Mapa final'!$Y$18="Media",'Mapa final'!$AA$18="Menor"),CONCATENATE("R2C",'Mapa final'!$O$18),"")</f>
        <v/>
      </c>
      <c r="S27" s="82" t="str">
        <f>IF(AND('Mapa final'!$Y$19="Media",'Mapa final'!$AA$19="Menor"),CONCATENATE("R2C",'Mapa final'!$O$19),"")</f>
        <v/>
      </c>
      <c r="T27" s="82" t="str">
        <f>IF(AND('Mapa final'!$Y$20="Media",'Mapa final'!$AA$20="Menor"),CONCATENATE("R2C",'Mapa final'!$O$20),"")</f>
        <v/>
      </c>
      <c r="U27" s="83" t="str">
        <f>IF(AND('Mapa final'!$Y$21="Media",'Mapa final'!$AA$21="Menor"),CONCATENATE("R2C",'Mapa final'!$O$21),"")</f>
        <v/>
      </c>
      <c r="V27" s="81" t="str">
        <f>IF(AND('Mapa final'!$Y$16="Media",'Mapa final'!$AA$16="Moderado"),CONCATENATE("R2C",'Mapa final'!$O$16),"")</f>
        <v/>
      </c>
      <c r="W27" s="82" t="str">
        <f>IF(AND('Mapa final'!$Y$17="Media",'Mapa final'!$AA$17="Moderado"),CONCATENATE("R2C",'Mapa final'!$O$17),"")</f>
        <v/>
      </c>
      <c r="X27" s="82" t="str">
        <f>IF(AND('Mapa final'!$Y$18="Media",'Mapa final'!$AA$18="Moderado"),CONCATENATE("R2C",'Mapa final'!$O$18),"")</f>
        <v/>
      </c>
      <c r="Y27" s="82" t="str">
        <f>IF(AND('Mapa final'!$Y$19="Media",'Mapa final'!$AA$19="Moderado"),CONCATENATE("R2C",'Mapa final'!$O$19),"")</f>
        <v/>
      </c>
      <c r="Z27" s="82" t="str">
        <f>IF(AND('Mapa final'!$Y$20="Media",'Mapa final'!$AA$20="Moderado"),CONCATENATE("R2C",'Mapa final'!$O$20),"")</f>
        <v/>
      </c>
      <c r="AA27" s="83" t="str">
        <f>IF(AND('Mapa final'!$Y$21="Media",'Mapa final'!$AA$21="Moderado"),CONCATENATE("R2C",'Mapa final'!$O$21),"")</f>
        <v/>
      </c>
      <c r="AB27" s="66" t="str">
        <f>IF(AND('Mapa final'!$Y$16="Media",'Mapa final'!$AA$16="Mayor"),CONCATENATE("R2C",'Mapa final'!$O$16),"")</f>
        <v/>
      </c>
      <c r="AC27" s="67" t="str">
        <f>IF(AND('Mapa final'!$Y$17="Media",'Mapa final'!$AA$17="Mayor"),CONCATENATE("R2C",'Mapa final'!$O$17),"")</f>
        <v/>
      </c>
      <c r="AD27" s="67" t="str">
        <f>IF(AND('Mapa final'!$Y$18="Media",'Mapa final'!$AA$18="Mayor"),CONCATENATE("R2C",'Mapa final'!$O$18),"")</f>
        <v/>
      </c>
      <c r="AE27" s="67" t="str">
        <f>IF(AND('Mapa final'!$Y$19="Media",'Mapa final'!$AA$19="Mayor"),CONCATENATE("R2C",'Mapa final'!$O$19),"")</f>
        <v/>
      </c>
      <c r="AF27" s="67" t="str">
        <f>IF(AND('Mapa final'!$Y$20="Media",'Mapa final'!$AA$20="Mayor"),CONCATENATE("R2C",'Mapa final'!$O$20),"")</f>
        <v/>
      </c>
      <c r="AG27" s="68" t="str">
        <f>IF(AND('Mapa final'!$Y$21="Media",'Mapa final'!$AA$21="Mayor"),CONCATENATE("R2C",'Mapa final'!$O$21),"")</f>
        <v/>
      </c>
      <c r="AH27" s="69" t="str">
        <f>IF(AND('Mapa final'!$Y$16="Media",'Mapa final'!$AA$16="Catastrófico"),CONCATENATE("R2C",'Mapa final'!$O$16),"")</f>
        <v/>
      </c>
      <c r="AI27" s="70" t="str">
        <f>IF(AND('Mapa final'!$Y$17="Media",'Mapa final'!$AA$17="Catastrófico"),CONCATENATE("R2C",'Mapa final'!$O$17),"")</f>
        <v/>
      </c>
      <c r="AJ27" s="70" t="str">
        <f>IF(AND('Mapa final'!$Y$18="Media",'Mapa final'!$AA$18="Catastrófico"),CONCATENATE("R2C",'Mapa final'!$O$18),"")</f>
        <v/>
      </c>
      <c r="AK27" s="70" t="str">
        <f>IF(AND('Mapa final'!$Y$19="Media",'Mapa final'!$AA$19="Catastrófico"),CONCATENATE("R2C",'Mapa final'!$O$19),"")</f>
        <v/>
      </c>
      <c r="AL27" s="70" t="str">
        <f>IF(AND('Mapa final'!$Y$20="Media",'Mapa final'!$AA$20="Catastrófico"),CONCATENATE("R2C",'Mapa final'!$O$20),"")</f>
        <v/>
      </c>
      <c r="AM27" s="71" t="str">
        <f>IF(AND('Mapa final'!$Y$21="Media",'Mapa final'!$AA$21="Catastrófico"),CONCATENATE("R2C",'Mapa final'!$O$21),"")</f>
        <v/>
      </c>
      <c r="AN27" s="97"/>
      <c r="AO27" s="374"/>
      <c r="AP27" s="375"/>
      <c r="AQ27" s="375"/>
      <c r="AR27" s="375"/>
      <c r="AS27" s="375"/>
      <c r="AT27" s="376"/>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row>
    <row r="28" spans="1:76" ht="15" customHeight="1" x14ac:dyDescent="0.25">
      <c r="A28" s="97"/>
      <c r="B28" s="246"/>
      <c r="C28" s="246"/>
      <c r="D28" s="247"/>
      <c r="E28" s="345"/>
      <c r="F28" s="344"/>
      <c r="G28" s="344"/>
      <c r="H28" s="344"/>
      <c r="I28" s="360"/>
      <c r="J28" s="81" t="str">
        <f>IF(AND('Mapa final'!$Y$22="Media",'Mapa final'!$AA$22="Leve"),CONCATENATE("R3C",'Mapa final'!$O$22),"")</f>
        <v/>
      </c>
      <c r="K28" s="82" t="str">
        <f>IF(AND('Mapa final'!$Y$23="Media",'Mapa final'!$AA$23="Leve"),CONCATENATE("R3C",'Mapa final'!$O$23),"")</f>
        <v/>
      </c>
      <c r="L28" s="82" t="str">
        <f>IF(AND('Mapa final'!$Y$24="Media",'Mapa final'!$AA$24="Leve"),CONCATENATE("R3C",'Mapa final'!$O$24),"")</f>
        <v/>
      </c>
      <c r="M28" s="82" t="str">
        <f>IF(AND('Mapa final'!$Y$25="Media",'Mapa final'!$AA$25="Leve"),CONCATENATE("R3C",'Mapa final'!$O$25),"")</f>
        <v/>
      </c>
      <c r="N28" s="82" t="str">
        <f>IF(AND('Mapa final'!$Y$26="Media",'Mapa final'!$AA$26="Leve"),CONCATENATE("R3C",'Mapa final'!$O$26),"")</f>
        <v/>
      </c>
      <c r="O28" s="83" t="str">
        <f>IF(AND('Mapa final'!$Y$27="Media",'Mapa final'!$AA$27="Leve"),CONCATENATE("R3C",'Mapa final'!$O$27),"")</f>
        <v/>
      </c>
      <c r="P28" s="81" t="str">
        <f>IF(AND('Mapa final'!$Y$22="Media",'Mapa final'!$AA$22="Menor"),CONCATENATE("R3C",'Mapa final'!$O$22),"")</f>
        <v/>
      </c>
      <c r="Q28" s="82" t="str">
        <f>IF(AND('Mapa final'!$Y$23="Media",'Mapa final'!$AA$23="Menor"),CONCATENATE("R3C",'Mapa final'!$O$23),"")</f>
        <v/>
      </c>
      <c r="R28" s="82" t="str">
        <f>IF(AND('Mapa final'!$Y$24="Media",'Mapa final'!$AA$24="Menor"),CONCATENATE("R3C",'Mapa final'!$O$24),"")</f>
        <v/>
      </c>
      <c r="S28" s="82" t="str">
        <f>IF(AND('Mapa final'!$Y$25="Media",'Mapa final'!$AA$25="Menor"),CONCATENATE("R3C",'Mapa final'!$O$25),"")</f>
        <v/>
      </c>
      <c r="T28" s="82" t="str">
        <f>IF(AND('Mapa final'!$Y$26="Media",'Mapa final'!$AA$26="Menor"),CONCATENATE("R3C",'Mapa final'!$O$26),"")</f>
        <v/>
      </c>
      <c r="U28" s="83" t="str">
        <f>IF(AND('Mapa final'!$Y$27="Media",'Mapa final'!$AA$27="Menor"),CONCATENATE("R3C",'Mapa final'!$O$27),"")</f>
        <v/>
      </c>
      <c r="V28" s="81" t="str">
        <f>IF(AND('Mapa final'!$Y$22="Media",'Mapa final'!$AA$22="Moderado"),CONCATENATE("R3C",'Mapa final'!$O$22),"")</f>
        <v/>
      </c>
      <c r="W28" s="82" t="str">
        <f>IF(AND('Mapa final'!$Y$23="Media",'Mapa final'!$AA$23="Moderado"),CONCATENATE("R3C",'Mapa final'!$O$23),"")</f>
        <v/>
      </c>
      <c r="X28" s="82" t="str">
        <f>IF(AND('Mapa final'!$Y$24="Media",'Mapa final'!$AA$24="Moderado"),CONCATENATE("R3C",'Mapa final'!$O$24),"")</f>
        <v/>
      </c>
      <c r="Y28" s="82" t="str">
        <f>IF(AND('Mapa final'!$Y$25="Media",'Mapa final'!$AA$25="Moderado"),CONCATENATE("R3C",'Mapa final'!$O$25),"")</f>
        <v/>
      </c>
      <c r="Z28" s="82" t="str">
        <f>IF(AND('Mapa final'!$Y$26="Media",'Mapa final'!$AA$26="Moderado"),CONCATENATE("R3C",'Mapa final'!$O$26),"")</f>
        <v/>
      </c>
      <c r="AA28" s="83" t="str">
        <f>IF(AND('Mapa final'!$Y$27="Media",'Mapa final'!$AA$27="Moderado"),CONCATENATE("R3C",'Mapa final'!$O$27),"")</f>
        <v/>
      </c>
      <c r="AB28" s="66" t="str">
        <f>IF(AND('Mapa final'!$Y$22="Media",'Mapa final'!$AA$22="Mayor"),CONCATENATE("R3C",'Mapa final'!$O$22),"")</f>
        <v/>
      </c>
      <c r="AC28" s="67" t="str">
        <f>IF(AND('Mapa final'!$Y$23="Media",'Mapa final'!$AA$23="Mayor"),CONCATENATE("R3C",'Mapa final'!$O$23),"")</f>
        <v/>
      </c>
      <c r="AD28" s="67" t="str">
        <f>IF(AND('Mapa final'!$Y$24="Media",'Mapa final'!$AA$24="Mayor"),CONCATENATE("R3C",'Mapa final'!$O$24),"")</f>
        <v/>
      </c>
      <c r="AE28" s="67" t="str">
        <f>IF(AND('Mapa final'!$Y$25="Media",'Mapa final'!$AA$25="Mayor"),CONCATENATE("R3C",'Mapa final'!$O$25),"")</f>
        <v/>
      </c>
      <c r="AF28" s="67" t="str">
        <f>IF(AND('Mapa final'!$Y$26="Media",'Mapa final'!$AA$26="Mayor"),CONCATENATE("R3C",'Mapa final'!$O$26),"")</f>
        <v/>
      </c>
      <c r="AG28" s="68" t="str">
        <f>IF(AND('Mapa final'!$Y$27="Media",'Mapa final'!$AA$27="Mayor"),CONCATENATE("R3C",'Mapa final'!$O$27),"")</f>
        <v/>
      </c>
      <c r="AH28" s="69" t="str">
        <f>IF(AND('Mapa final'!$Y$22="Media",'Mapa final'!$AA$22="Catastrófico"),CONCATENATE("R3C",'Mapa final'!$O$22),"")</f>
        <v/>
      </c>
      <c r="AI28" s="70" t="str">
        <f>IF(AND('Mapa final'!$Y$23="Media",'Mapa final'!$AA$23="Catastrófico"),CONCATENATE("R3C",'Mapa final'!$O$23),"")</f>
        <v/>
      </c>
      <c r="AJ28" s="70" t="str">
        <f>IF(AND('Mapa final'!$Y$24="Media",'Mapa final'!$AA$24="Catastrófico"),CONCATENATE("R3C",'Mapa final'!$O$24),"")</f>
        <v/>
      </c>
      <c r="AK28" s="70" t="str">
        <f>IF(AND('Mapa final'!$Y$25="Media",'Mapa final'!$AA$25="Catastrófico"),CONCATENATE("R3C",'Mapa final'!$O$25),"")</f>
        <v/>
      </c>
      <c r="AL28" s="70" t="str">
        <f>IF(AND('Mapa final'!$Y$26="Media",'Mapa final'!$AA$26="Catastrófico"),CONCATENATE("R3C",'Mapa final'!$O$26),"")</f>
        <v/>
      </c>
      <c r="AM28" s="71" t="str">
        <f>IF(AND('Mapa final'!$Y$27="Media",'Mapa final'!$AA$27="Catastrófico"),CONCATENATE("R3C",'Mapa final'!$O$27),"")</f>
        <v/>
      </c>
      <c r="AN28" s="97"/>
      <c r="AO28" s="374"/>
      <c r="AP28" s="375"/>
      <c r="AQ28" s="375"/>
      <c r="AR28" s="375"/>
      <c r="AS28" s="375"/>
      <c r="AT28" s="376"/>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row>
    <row r="29" spans="1:76" ht="15" customHeight="1" x14ac:dyDescent="0.25">
      <c r="A29" s="97"/>
      <c r="B29" s="246"/>
      <c r="C29" s="246"/>
      <c r="D29" s="247"/>
      <c r="E29" s="345"/>
      <c r="F29" s="344"/>
      <c r="G29" s="344"/>
      <c r="H29" s="344"/>
      <c r="I29" s="360"/>
      <c r="J29" s="81" t="str">
        <f>IF(AND('Mapa final'!$Y$28="Media",'Mapa final'!$AA$28="Leve"),CONCATENATE("R4C",'Mapa final'!$O$28),"")</f>
        <v/>
      </c>
      <c r="K29" s="82" t="str">
        <f>IF(AND('Mapa final'!$Y$29="Media",'Mapa final'!$AA$29="Leve"),CONCATENATE("R4C",'Mapa final'!$O$29),"")</f>
        <v/>
      </c>
      <c r="L29" s="82" t="str">
        <f>IF(AND('Mapa final'!$Y$30="Media",'Mapa final'!$AA$30="Leve"),CONCATENATE("R4C",'Mapa final'!$O$30),"")</f>
        <v/>
      </c>
      <c r="M29" s="82" t="str">
        <f>IF(AND('Mapa final'!$Y$31="Media",'Mapa final'!$AA$31="Leve"),CONCATENATE("R4C",'Mapa final'!$O$31),"")</f>
        <v/>
      </c>
      <c r="N29" s="82" t="str">
        <f>IF(AND('Mapa final'!$Y$32="Media",'Mapa final'!$AA$32="Leve"),CONCATENATE("R4C",'Mapa final'!$O$32),"")</f>
        <v/>
      </c>
      <c r="O29" s="83" t="str">
        <f>IF(AND('Mapa final'!$Y$33="Media",'Mapa final'!$AA$33="Leve"),CONCATENATE("R4C",'Mapa final'!$O$33),"")</f>
        <v/>
      </c>
      <c r="P29" s="81" t="str">
        <f>IF(AND('Mapa final'!$Y$28="Media",'Mapa final'!$AA$28="Menor"),CONCATENATE("R4C",'Mapa final'!$O$28),"")</f>
        <v/>
      </c>
      <c r="Q29" s="82" t="str">
        <f>IF(AND('Mapa final'!$Y$29="Media",'Mapa final'!$AA$29="Menor"),CONCATENATE("R4C",'Mapa final'!$O$29),"")</f>
        <v/>
      </c>
      <c r="R29" s="82" t="str">
        <f>IF(AND('Mapa final'!$Y$30="Media",'Mapa final'!$AA$30="Menor"),CONCATENATE("R4C",'Mapa final'!$O$30),"")</f>
        <v/>
      </c>
      <c r="S29" s="82" t="str">
        <f>IF(AND('Mapa final'!$Y$31="Media",'Mapa final'!$AA$31="Menor"),CONCATENATE("R4C",'Mapa final'!$O$31),"")</f>
        <v/>
      </c>
      <c r="T29" s="82" t="str">
        <f>IF(AND('Mapa final'!$Y$32="Media",'Mapa final'!$AA$32="Menor"),CONCATENATE("R4C",'Mapa final'!$O$32),"")</f>
        <v/>
      </c>
      <c r="U29" s="83" t="str">
        <f>IF(AND('Mapa final'!$Y$33="Media",'Mapa final'!$AA$33="Menor"),CONCATENATE("R4C",'Mapa final'!$O$33),"")</f>
        <v/>
      </c>
      <c r="V29" s="81" t="str">
        <f>IF(AND('Mapa final'!$Y$28="Media",'Mapa final'!$AA$28="Moderado"),CONCATENATE("R4C",'Mapa final'!$O$28),"")</f>
        <v/>
      </c>
      <c r="W29" s="82" t="str">
        <f>IF(AND('Mapa final'!$Y$29="Media",'Mapa final'!$AA$29="Moderado"),CONCATENATE("R4C",'Mapa final'!$O$29),"")</f>
        <v/>
      </c>
      <c r="X29" s="82" t="str">
        <f>IF(AND('Mapa final'!$Y$30="Media",'Mapa final'!$AA$30="Moderado"),CONCATENATE("R4C",'Mapa final'!$O$30),"")</f>
        <v/>
      </c>
      <c r="Y29" s="82" t="str">
        <f>IF(AND('Mapa final'!$Y$31="Media",'Mapa final'!$AA$31="Moderado"),CONCATENATE("R4C",'Mapa final'!$O$31),"")</f>
        <v/>
      </c>
      <c r="Z29" s="82" t="str">
        <f>IF(AND('Mapa final'!$Y$32="Media",'Mapa final'!$AA$32="Moderado"),CONCATENATE("R4C",'Mapa final'!$O$32),"")</f>
        <v/>
      </c>
      <c r="AA29" s="83" t="str">
        <f>IF(AND('Mapa final'!$Y$33="Media",'Mapa final'!$AA$33="Moderado"),CONCATENATE("R4C",'Mapa final'!$O$33),"")</f>
        <v/>
      </c>
      <c r="AB29" s="66" t="str">
        <f>IF(AND('Mapa final'!$Y$28="Media",'Mapa final'!$AA$28="Mayor"),CONCATENATE("R4C",'Mapa final'!$O$28),"")</f>
        <v/>
      </c>
      <c r="AC29" s="67" t="str">
        <f>IF(AND('Mapa final'!$Y$29="Media",'Mapa final'!$AA$29="Mayor"),CONCATENATE("R4C",'Mapa final'!$O$29),"")</f>
        <v/>
      </c>
      <c r="AD29" s="67" t="str">
        <f>IF(AND('Mapa final'!$Y$30="Media",'Mapa final'!$AA$30="Mayor"),CONCATENATE("R4C",'Mapa final'!$O$30),"")</f>
        <v/>
      </c>
      <c r="AE29" s="67" t="str">
        <f>IF(AND('Mapa final'!$Y$31="Media",'Mapa final'!$AA$31="Mayor"),CONCATENATE("R4C",'Mapa final'!$O$31),"")</f>
        <v/>
      </c>
      <c r="AF29" s="67" t="str">
        <f>IF(AND('Mapa final'!$Y$32="Media",'Mapa final'!$AA$32="Mayor"),CONCATENATE("R4C",'Mapa final'!$O$32),"")</f>
        <v/>
      </c>
      <c r="AG29" s="68" t="str">
        <f>IF(AND('Mapa final'!$Y$33="Media",'Mapa final'!$AA$33="Mayor"),CONCATENATE("R4C",'Mapa final'!$O$33),"")</f>
        <v/>
      </c>
      <c r="AH29" s="69" t="str">
        <f>IF(AND('Mapa final'!$Y$28="Media",'Mapa final'!$AA$28="Catastrófico"),CONCATENATE("R4C",'Mapa final'!$O$28),"")</f>
        <v/>
      </c>
      <c r="AI29" s="70" t="str">
        <f>IF(AND('Mapa final'!$Y$29="Media",'Mapa final'!$AA$29="Catastrófico"),CONCATENATE("R4C",'Mapa final'!$O$29),"")</f>
        <v/>
      </c>
      <c r="AJ29" s="70" t="str">
        <f>IF(AND('Mapa final'!$Y$30="Media",'Mapa final'!$AA$30="Catastrófico"),CONCATENATE("R4C",'Mapa final'!$O$30),"")</f>
        <v/>
      </c>
      <c r="AK29" s="70" t="str">
        <f>IF(AND('Mapa final'!$Y$31="Media",'Mapa final'!$AA$31="Catastrófico"),CONCATENATE("R4C",'Mapa final'!$O$31),"")</f>
        <v/>
      </c>
      <c r="AL29" s="70" t="str">
        <f>IF(AND('Mapa final'!$Y$32="Media",'Mapa final'!$AA$32="Catastrófico"),CONCATENATE("R4C",'Mapa final'!$O$32),"")</f>
        <v/>
      </c>
      <c r="AM29" s="71" t="str">
        <f>IF(AND('Mapa final'!$Y$33="Media",'Mapa final'!$AA$33="Catastrófico"),CONCATENATE("R4C",'Mapa final'!$O$33),"")</f>
        <v/>
      </c>
      <c r="AN29" s="97"/>
      <c r="AO29" s="374"/>
      <c r="AP29" s="375"/>
      <c r="AQ29" s="375"/>
      <c r="AR29" s="375"/>
      <c r="AS29" s="375"/>
      <c r="AT29" s="376"/>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row>
    <row r="30" spans="1:76" ht="15" customHeight="1" x14ac:dyDescent="0.25">
      <c r="A30" s="97"/>
      <c r="B30" s="246"/>
      <c r="C30" s="246"/>
      <c r="D30" s="247"/>
      <c r="E30" s="345"/>
      <c r="F30" s="344"/>
      <c r="G30" s="344"/>
      <c r="H30" s="344"/>
      <c r="I30" s="360"/>
      <c r="J30" s="81" t="str">
        <f>IF(AND('Mapa final'!$Y$34="Media",'Mapa final'!$AA$34="Leve"),CONCATENATE("R5C",'Mapa final'!$O$34),"")</f>
        <v/>
      </c>
      <c r="K30" s="82" t="str">
        <f>IF(AND('Mapa final'!$Y$35="Media",'Mapa final'!$AA$35="Leve"),CONCATENATE("R5C",'Mapa final'!$O$35),"")</f>
        <v/>
      </c>
      <c r="L30" s="82" t="str">
        <f>IF(AND('Mapa final'!$Y$36="Media",'Mapa final'!$AA$36="Leve"),CONCATENATE("R5C",'Mapa final'!$O$36),"")</f>
        <v/>
      </c>
      <c r="M30" s="82" t="str">
        <f>IF(AND('Mapa final'!$Y$37="Media",'Mapa final'!$AA$37="Leve"),CONCATENATE("R5C",'Mapa final'!$O$37),"")</f>
        <v/>
      </c>
      <c r="N30" s="82" t="str">
        <f>IF(AND('Mapa final'!$Y$38="Media",'Mapa final'!$AA$38="Leve"),CONCATENATE("R5C",'Mapa final'!$O$38),"")</f>
        <v/>
      </c>
      <c r="O30" s="83" t="str">
        <f>IF(AND('Mapa final'!$Y$39="Media",'Mapa final'!$AA$39="Leve"),CONCATENATE("R5C",'Mapa final'!$O$39),"")</f>
        <v/>
      </c>
      <c r="P30" s="81" t="str">
        <f>IF(AND('Mapa final'!$Y$34="Media",'Mapa final'!$AA$34="Menor"),CONCATENATE("R5C",'Mapa final'!$O$34),"")</f>
        <v/>
      </c>
      <c r="Q30" s="82" t="str">
        <f>IF(AND('Mapa final'!$Y$35="Media",'Mapa final'!$AA$35="Menor"),CONCATENATE("R5C",'Mapa final'!$O$35),"")</f>
        <v/>
      </c>
      <c r="R30" s="82" t="str">
        <f>IF(AND('Mapa final'!$Y$36="Media",'Mapa final'!$AA$36="Menor"),CONCATENATE("R5C",'Mapa final'!$O$36),"")</f>
        <v/>
      </c>
      <c r="S30" s="82" t="str">
        <f>IF(AND('Mapa final'!$Y$37="Media",'Mapa final'!$AA$37="Menor"),CONCATENATE("R5C",'Mapa final'!$O$37),"")</f>
        <v/>
      </c>
      <c r="T30" s="82" t="str">
        <f>IF(AND('Mapa final'!$Y$38="Media",'Mapa final'!$AA$38="Menor"),CONCATENATE("R5C",'Mapa final'!$O$38),"")</f>
        <v/>
      </c>
      <c r="U30" s="83" t="str">
        <f>IF(AND('Mapa final'!$Y$39="Media",'Mapa final'!$AA$39="Menor"),CONCATENATE("R5C",'Mapa final'!$O$39),"")</f>
        <v/>
      </c>
      <c r="V30" s="81" t="str">
        <f>IF(AND('Mapa final'!$Y$34="Media",'Mapa final'!$AA$34="Moderado"),CONCATENATE("R5C",'Mapa final'!$O$34),"")</f>
        <v/>
      </c>
      <c r="W30" s="82" t="str">
        <f>IF(AND('Mapa final'!$Y$35="Media",'Mapa final'!$AA$35="Moderado"),CONCATENATE("R5C",'Mapa final'!$O$35),"")</f>
        <v/>
      </c>
      <c r="X30" s="82" t="str">
        <f>IF(AND('Mapa final'!$Y$36="Media",'Mapa final'!$AA$36="Moderado"),CONCATENATE("R5C",'Mapa final'!$O$36),"")</f>
        <v/>
      </c>
      <c r="Y30" s="82" t="str">
        <f>IF(AND('Mapa final'!$Y$37="Media",'Mapa final'!$AA$37="Moderado"),CONCATENATE("R5C",'Mapa final'!$O$37),"")</f>
        <v/>
      </c>
      <c r="Z30" s="82" t="str">
        <f>IF(AND('Mapa final'!$Y$38="Media",'Mapa final'!$AA$38="Moderado"),CONCATENATE("R5C",'Mapa final'!$O$38),"")</f>
        <v/>
      </c>
      <c r="AA30" s="83" t="str">
        <f>IF(AND('Mapa final'!$Y$39="Media",'Mapa final'!$AA$39="Moderado"),CONCATENATE("R5C",'Mapa final'!$O$39),"")</f>
        <v/>
      </c>
      <c r="AB30" s="66" t="str">
        <f>IF(AND('Mapa final'!$Y$34="Media",'Mapa final'!$AA$34="Mayor"),CONCATENATE("R5C",'Mapa final'!$O$34),"")</f>
        <v/>
      </c>
      <c r="AC30" s="67" t="str">
        <f>IF(AND('Mapa final'!$Y$35="Media",'Mapa final'!$AA$35="Mayor"),CONCATENATE("R5C",'Mapa final'!$O$35),"")</f>
        <v/>
      </c>
      <c r="AD30" s="67" t="str">
        <f>IF(AND('Mapa final'!$Y$36="Media",'Mapa final'!$AA$36="Mayor"),CONCATENATE("R5C",'Mapa final'!$O$36),"")</f>
        <v/>
      </c>
      <c r="AE30" s="67" t="str">
        <f>IF(AND('Mapa final'!$Y$37="Media",'Mapa final'!$AA$37="Mayor"),CONCATENATE("R5C",'Mapa final'!$O$37),"")</f>
        <v/>
      </c>
      <c r="AF30" s="67" t="str">
        <f>IF(AND('Mapa final'!$Y$38="Media",'Mapa final'!$AA$38="Mayor"),CONCATENATE("R5C",'Mapa final'!$O$38),"")</f>
        <v/>
      </c>
      <c r="AG30" s="68" t="str">
        <f>IF(AND('Mapa final'!$Y$39="Media",'Mapa final'!$AA$39="Mayor"),CONCATENATE("R5C",'Mapa final'!$O$39),"")</f>
        <v/>
      </c>
      <c r="AH30" s="69" t="str">
        <f>IF(AND('Mapa final'!$Y$34="Media",'Mapa final'!$AA$34="Catastrófico"),CONCATENATE("R5C",'Mapa final'!$O$34),"")</f>
        <v/>
      </c>
      <c r="AI30" s="70" t="str">
        <f>IF(AND('Mapa final'!$Y$35="Media",'Mapa final'!$AA$35="Catastrófico"),CONCATENATE("R5C",'Mapa final'!$O$35),"")</f>
        <v/>
      </c>
      <c r="AJ30" s="70" t="str">
        <f>IF(AND('Mapa final'!$Y$36="Media",'Mapa final'!$AA$36="Catastrófico"),CONCATENATE("R5C",'Mapa final'!$O$36),"")</f>
        <v/>
      </c>
      <c r="AK30" s="70" t="str">
        <f>IF(AND('Mapa final'!$Y$37="Media",'Mapa final'!$AA$37="Catastrófico"),CONCATENATE("R5C",'Mapa final'!$O$37),"")</f>
        <v/>
      </c>
      <c r="AL30" s="70" t="str">
        <f>IF(AND('Mapa final'!$Y$38="Media",'Mapa final'!$AA$38="Catastrófico"),CONCATENATE("R5C",'Mapa final'!$O$38),"")</f>
        <v/>
      </c>
      <c r="AM30" s="71" t="str">
        <f>IF(AND('Mapa final'!$Y$39="Media",'Mapa final'!$AA$39="Catastrófico"),CONCATENATE("R5C",'Mapa final'!$O$39),"")</f>
        <v/>
      </c>
      <c r="AN30" s="97"/>
      <c r="AO30" s="374"/>
      <c r="AP30" s="375"/>
      <c r="AQ30" s="375"/>
      <c r="AR30" s="375"/>
      <c r="AS30" s="375"/>
      <c r="AT30" s="376"/>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row>
    <row r="31" spans="1:76" ht="15" customHeight="1" x14ac:dyDescent="0.25">
      <c r="A31" s="97"/>
      <c r="B31" s="246"/>
      <c r="C31" s="246"/>
      <c r="D31" s="247"/>
      <c r="E31" s="345"/>
      <c r="F31" s="344"/>
      <c r="G31" s="344"/>
      <c r="H31" s="344"/>
      <c r="I31" s="360"/>
      <c r="J31" s="81" t="str">
        <f>IF(AND('Mapa final'!$Y$40="Media",'Mapa final'!$AA$40="Leve"),CONCATENATE("R6C",'Mapa final'!$O$40),"")</f>
        <v/>
      </c>
      <c r="K31" s="82" t="str">
        <f>IF(AND('Mapa final'!$Y$41="Media",'Mapa final'!$AA$41="Leve"),CONCATENATE("R6C",'Mapa final'!$O$41),"")</f>
        <v/>
      </c>
      <c r="L31" s="82" t="str">
        <f>IF(AND('Mapa final'!$Y$42="Media",'Mapa final'!$AA$42="Leve"),CONCATENATE("R6C",'Mapa final'!$O$42),"")</f>
        <v/>
      </c>
      <c r="M31" s="82" t="str">
        <f>IF(AND('Mapa final'!$Y$43="Media",'Mapa final'!$AA$43="Leve"),CONCATENATE("R6C",'Mapa final'!$O$43),"")</f>
        <v/>
      </c>
      <c r="N31" s="82" t="str">
        <f>IF(AND('Mapa final'!$Y$44="Media",'Mapa final'!$AA$44="Leve"),CONCATENATE("R6C",'Mapa final'!$O$44),"")</f>
        <v/>
      </c>
      <c r="O31" s="83" t="str">
        <f>IF(AND('Mapa final'!$Y$45="Media",'Mapa final'!$AA$45="Leve"),CONCATENATE("R6C",'Mapa final'!$O$45),"")</f>
        <v/>
      </c>
      <c r="P31" s="81" t="str">
        <f>IF(AND('Mapa final'!$Y$40="Media",'Mapa final'!$AA$40="Menor"),CONCATENATE("R6C",'Mapa final'!$O$40),"")</f>
        <v/>
      </c>
      <c r="Q31" s="82" t="str">
        <f>IF(AND('Mapa final'!$Y$41="Media",'Mapa final'!$AA$41="Menor"),CONCATENATE("R6C",'Mapa final'!$O$41),"")</f>
        <v/>
      </c>
      <c r="R31" s="82" t="str">
        <f>IF(AND('Mapa final'!$Y$42="Media",'Mapa final'!$AA$42="Menor"),CONCATENATE("R6C",'Mapa final'!$O$42),"")</f>
        <v/>
      </c>
      <c r="S31" s="82" t="str">
        <f>IF(AND('Mapa final'!$Y$43="Media",'Mapa final'!$AA$43="Menor"),CONCATENATE("R6C",'Mapa final'!$O$43),"")</f>
        <v/>
      </c>
      <c r="T31" s="82" t="str">
        <f>IF(AND('Mapa final'!$Y$44="Media",'Mapa final'!$AA$44="Menor"),CONCATENATE("R6C",'Mapa final'!$O$44),"")</f>
        <v/>
      </c>
      <c r="U31" s="83" t="str">
        <f>IF(AND('Mapa final'!$Y$45="Media",'Mapa final'!$AA$45="Menor"),CONCATENATE("R6C",'Mapa final'!$O$45),"")</f>
        <v/>
      </c>
      <c r="V31" s="81" t="str">
        <f>IF(AND('Mapa final'!$Y$40="Media",'Mapa final'!$AA$40="Moderado"),CONCATENATE("R6C",'Mapa final'!$O$40),"")</f>
        <v/>
      </c>
      <c r="W31" s="82" t="str">
        <f>IF(AND('Mapa final'!$Y$41="Media",'Mapa final'!$AA$41="Moderado"),CONCATENATE("R6C",'Mapa final'!$O$41),"")</f>
        <v/>
      </c>
      <c r="X31" s="82" t="str">
        <f>IF(AND('Mapa final'!$Y$42="Media",'Mapa final'!$AA$42="Moderado"),CONCATENATE("R6C",'Mapa final'!$O$42),"")</f>
        <v/>
      </c>
      <c r="Y31" s="82" t="str">
        <f>IF(AND('Mapa final'!$Y$43="Media",'Mapa final'!$AA$43="Moderado"),CONCATENATE("R6C",'Mapa final'!$O$43),"")</f>
        <v/>
      </c>
      <c r="Z31" s="82" t="str">
        <f>IF(AND('Mapa final'!$Y$44="Media",'Mapa final'!$AA$44="Moderado"),CONCATENATE("R6C",'Mapa final'!$O$44),"")</f>
        <v/>
      </c>
      <c r="AA31" s="83" t="str">
        <f>IF(AND('Mapa final'!$Y$45="Media",'Mapa final'!$AA$45="Moderado"),CONCATENATE("R6C",'Mapa final'!$O$45),"")</f>
        <v/>
      </c>
      <c r="AB31" s="66" t="str">
        <f>IF(AND('Mapa final'!$Y$40="Media",'Mapa final'!$AA$40="Mayor"),CONCATENATE("R6C",'Mapa final'!$O$40),"")</f>
        <v/>
      </c>
      <c r="AC31" s="67" t="str">
        <f>IF(AND('Mapa final'!$Y$41="Media",'Mapa final'!$AA$41="Mayor"),CONCATENATE("R6C",'Mapa final'!$O$41),"")</f>
        <v/>
      </c>
      <c r="AD31" s="67" t="str">
        <f>IF(AND('Mapa final'!$Y$42="Media",'Mapa final'!$AA$42="Mayor"),CONCATENATE("R6C",'Mapa final'!$O$42),"")</f>
        <v/>
      </c>
      <c r="AE31" s="67" t="str">
        <f>IF(AND('Mapa final'!$Y$43="Media",'Mapa final'!$AA$43="Mayor"),CONCATENATE("R6C",'Mapa final'!$O$43),"")</f>
        <v/>
      </c>
      <c r="AF31" s="67" t="str">
        <f>IF(AND('Mapa final'!$Y$44="Media",'Mapa final'!$AA$44="Mayor"),CONCATENATE("R6C",'Mapa final'!$O$44),"")</f>
        <v/>
      </c>
      <c r="AG31" s="68" t="str">
        <f>IF(AND('Mapa final'!$Y$45="Media",'Mapa final'!$AA$45="Mayor"),CONCATENATE("R6C",'Mapa final'!$O$45),"")</f>
        <v/>
      </c>
      <c r="AH31" s="69" t="str">
        <f>IF(AND('Mapa final'!$Y$40="Media",'Mapa final'!$AA$40="Catastrófico"),CONCATENATE("R6C",'Mapa final'!$O$40),"")</f>
        <v/>
      </c>
      <c r="AI31" s="70" t="str">
        <f>IF(AND('Mapa final'!$Y$41="Media",'Mapa final'!$AA$41="Catastrófico"),CONCATENATE("R6C",'Mapa final'!$O$41),"")</f>
        <v/>
      </c>
      <c r="AJ31" s="70" t="str">
        <f>IF(AND('Mapa final'!$Y$42="Media",'Mapa final'!$AA$42="Catastrófico"),CONCATENATE("R6C",'Mapa final'!$O$42),"")</f>
        <v/>
      </c>
      <c r="AK31" s="70" t="str">
        <f>IF(AND('Mapa final'!$Y$43="Media",'Mapa final'!$AA$43="Catastrófico"),CONCATENATE("R6C",'Mapa final'!$O$43),"")</f>
        <v/>
      </c>
      <c r="AL31" s="70" t="str">
        <f>IF(AND('Mapa final'!$Y$44="Media",'Mapa final'!$AA$44="Catastrófico"),CONCATENATE("R6C",'Mapa final'!$O$44),"")</f>
        <v/>
      </c>
      <c r="AM31" s="71" t="str">
        <f>IF(AND('Mapa final'!$Y$45="Media",'Mapa final'!$AA$45="Catastrófico"),CONCATENATE("R6C",'Mapa final'!$O$45),"")</f>
        <v/>
      </c>
      <c r="AN31" s="97"/>
      <c r="AO31" s="374"/>
      <c r="AP31" s="375"/>
      <c r="AQ31" s="375"/>
      <c r="AR31" s="375"/>
      <c r="AS31" s="375"/>
      <c r="AT31" s="376"/>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row>
    <row r="32" spans="1:76" ht="15" customHeight="1" x14ac:dyDescent="0.25">
      <c r="A32" s="97"/>
      <c r="B32" s="246"/>
      <c r="C32" s="246"/>
      <c r="D32" s="247"/>
      <c r="E32" s="345"/>
      <c r="F32" s="344"/>
      <c r="G32" s="344"/>
      <c r="H32" s="344"/>
      <c r="I32" s="360"/>
      <c r="J32" s="81" t="str">
        <f>IF(AND('Mapa final'!$Y$46="Media",'Mapa final'!$AA$46="Leve"),CONCATENATE("R7C",'Mapa final'!$O$46),"")</f>
        <v/>
      </c>
      <c r="K32" s="82" t="str">
        <f>IF(AND('Mapa final'!$Y$47="Media",'Mapa final'!$AA$47="Leve"),CONCATENATE("R7C",'Mapa final'!$O$47),"")</f>
        <v/>
      </c>
      <c r="L32" s="82" t="str">
        <f>IF(AND('Mapa final'!$Y$48="Media",'Mapa final'!$AA$48="Leve"),CONCATENATE("R7C",'Mapa final'!$O$48),"")</f>
        <v/>
      </c>
      <c r="M32" s="82" t="str">
        <f>IF(AND('Mapa final'!$Y$49="Media",'Mapa final'!$AA$49="Leve"),CONCATENATE("R7C",'Mapa final'!$O$49),"")</f>
        <v/>
      </c>
      <c r="N32" s="82" t="str">
        <f>IF(AND('Mapa final'!$Y$50="Media",'Mapa final'!$AA$50="Leve"),CONCATENATE("R7C",'Mapa final'!$O$50),"")</f>
        <v/>
      </c>
      <c r="O32" s="83" t="str">
        <f>IF(AND('Mapa final'!$Y$51="Media",'Mapa final'!$AA$51="Leve"),CONCATENATE("R7C",'Mapa final'!$O$51),"")</f>
        <v/>
      </c>
      <c r="P32" s="81" t="str">
        <f>IF(AND('Mapa final'!$Y$46="Media",'Mapa final'!$AA$46="Menor"),CONCATENATE("R7C",'Mapa final'!$O$46),"")</f>
        <v/>
      </c>
      <c r="Q32" s="82" t="str">
        <f>IF(AND('Mapa final'!$Y$47="Media",'Mapa final'!$AA$47="Menor"),CONCATENATE("R7C",'Mapa final'!$O$47),"")</f>
        <v/>
      </c>
      <c r="R32" s="82" t="str">
        <f>IF(AND('Mapa final'!$Y$48="Media",'Mapa final'!$AA$48="Menor"),CONCATENATE("R7C",'Mapa final'!$O$48),"")</f>
        <v/>
      </c>
      <c r="S32" s="82" t="str">
        <f>IF(AND('Mapa final'!$Y$49="Media",'Mapa final'!$AA$49="Menor"),CONCATENATE("R7C",'Mapa final'!$O$49),"")</f>
        <v/>
      </c>
      <c r="T32" s="82" t="str">
        <f>IF(AND('Mapa final'!$Y$50="Media",'Mapa final'!$AA$50="Menor"),CONCATENATE("R7C",'Mapa final'!$O$50),"")</f>
        <v/>
      </c>
      <c r="U32" s="83" t="str">
        <f>IF(AND('Mapa final'!$Y$51="Media",'Mapa final'!$AA$51="Menor"),CONCATENATE("R7C",'Mapa final'!$O$51),"")</f>
        <v/>
      </c>
      <c r="V32" s="81" t="str">
        <f>IF(AND('Mapa final'!$Y$46="Media",'Mapa final'!$AA$46="Moderado"),CONCATENATE("R7C",'Mapa final'!$O$46),"")</f>
        <v/>
      </c>
      <c r="W32" s="82" t="str">
        <f>IF(AND('Mapa final'!$Y$47="Media",'Mapa final'!$AA$47="Moderado"),CONCATENATE("R7C",'Mapa final'!$O$47),"")</f>
        <v/>
      </c>
      <c r="X32" s="82" t="str">
        <f>IF(AND('Mapa final'!$Y$48="Media",'Mapa final'!$AA$48="Moderado"),CONCATENATE("R7C",'Mapa final'!$O$48),"")</f>
        <v/>
      </c>
      <c r="Y32" s="82" t="str">
        <f>IF(AND('Mapa final'!$Y$49="Media",'Mapa final'!$AA$49="Moderado"),CONCATENATE("R7C",'Mapa final'!$O$49),"")</f>
        <v/>
      </c>
      <c r="Z32" s="82" t="str">
        <f>IF(AND('Mapa final'!$Y$50="Media",'Mapa final'!$AA$50="Moderado"),CONCATENATE("R7C",'Mapa final'!$O$50),"")</f>
        <v/>
      </c>
      <c r="AA32" s="83" t="str">
        <f>IF(AND('Mapa final'!$Y$51="Media",'Mapa final'!$AA$51="Moderado"),CONCATENATE("R7C",'Mapa final'!$O$51),"")</f>
        <v/>
      </c>
      <c r="AB32" s="66" t="str">
        <f>IF(AND('Mapa final'!$Y$46="Media",'Mapa final'!$AA$46="Mayor"),CONCATENATE("R7C",'Mapa final'!$O$46),"")</f>
        <v/>
      </c>
      <c r="AC32" s="67" t="str">
        <f>IF(AND('Mapa final'!$Y$47="Media",'Mapa final'!$AA$47="Mayor"),CONCATENATE("R7C",'Mapa final'!$O$47),"")</f>
        <v/>
      </c>
      <c r="AD32" s="67" t="str">
        <f>IF(AND('Mapa final'!$Y$48="Media",'Mapa final'!$AA$48="Mayor"),CONCATENATE("R7C",'Mapa final'!$O$48),"")</f>
        <v/>
      </c>
      <c r="AE32" s="67" t="str">
        <f>IF(AND('Mapa final'!$Y$49="Media",'Mapa final'!$AA$49="Mayor"),CONCATENATE("R7C",'Mapa final'!$O$49),"")</f>
        <v/>
      </c>
      <c r="AF32" s="67" t="str">
        <f>IF(AND('Mapa final'!$Y$50="Media",'Mapa final'!$AA$50="Mayor"),CONCATENATE("R7C",'Mapa final'!$O$50),"")</f>
        <v/>
      </c>
      <c r="AG32" s="68" t="str">
        <f>IF(AND('Mapa final'!$Y$51="Media",'Mapa final'!$AA$51="Mayor"),CONCATENATE("R7C",'Mapa final'!$O$51),"")</f>
        <v/>
      </c>
      <c r="AH32" s="69" t="str">
        <f>IF(AND('Mapa final'!$Y$46="Media",'Mapa final'!$AA$46="Catastrófico"),CONCATENATE("R7C",'Mapa final'!$O$46),"")</f>
        <v/>
      </c>
      <c r="AI32" s="70" t="str">
        <f>IF(AND('Mapa final'!$Y$47="Media",'Mapa final'!$AA$47="Catastrófico"),CONCATENATE("R7C",'Mapa final'!$O$47),"")</f>
        <v/>
      </c>
      <c r="AJ32" s="70" t="str">
        <f>IF(AND('Mapa final'!$Y$48="Media",'Mapa final'!$AA$48="Catastrófico"),CONCATENATE("R7C",'Mapa final'!$O$48),"")</f>
        <v/>
      </c>
      <c r="AK32" s="70" t="str">
        <f>IF(AND('Mapa final'!$Y$49="Media",'Mapa final'!$AA$49="Catastrófico"),CONCATENATE("R7C",'Mapa final'!$O$49),"")</f>
        <v/>
      </c>
      <c r="AL32" s="70" t="str">
        <f>IF(AND('Mapa final'!$Y$50="Media",'Mapa final'!$AA$50="Catastrófico"),CONCATENATE("R7C",'Mapa final'!$O$50),"")</f>
        <v/>
      </c>
      <c r="AM32" s="71" t="str">
        <f>IF(AND('Mapa final'!$Y$51="Media",'Mapa final'!$AA$51="Catastrófico"),CONCATENATE("R7C",'Mapa final'!$O$51),"")</f>
        <v/>
      </c>
      <c r="AN32" s="97"/>
      <c r="AO32" s="374"/>
      <c r="AP32" s="375"/>
      <c r="AQ32" s="375"/>
      <c r="AR32" s="375"/>
      <c r="AS32" s="375"/>
      <c r="AT32" s="376"/>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row>
    <row r="33" spans="1:80" ht="15" customHeight="1" x14ac:dyDescent="0.25">
      <c r="A33" s="97"/>
      <c r="B33" s="246"/>
      <c r="C33" s="246"/>
      <c r="D33" s="247"/>
      <c r="E33" s="345"/>
      <c r="F33" s="344"/>
      <c r="G33" s="344"/>
      <c r="H33" s="344"/>
      <c r="I33" s="360"/>
      <c r="J33" s="81" t="str">
        <f>IF(AND('Mapa final'!$Y$52="Media",'Mapa final'!$AA$52="Leve"),CONCATENATE("R8C",'Mapa final'!$O$52),"")</f>
        <v/>
      </c>
      <c r="K33" s="82" t="str">
        <f>IF(AND('Mapa final'!$Y$53="Media",'Mapa final'!$AA$53="Leve"),CONCATENATE("R8C",'Mapa final'!$O$53),"")</f>
        <v/>
      </c>
      <c r="L33" s="82" t="str">
        <f>IF(AND('Mapa final'!$Y$54="Media",'Mapa final'!$AA$54="Leve"),CONCATENATE("R8C",'Mapa final'!$O$54),"")</f>
        <v/>
      </c>
      <c r="M33" s="82" t="str">
        <f>IF(AND('Mapa final'!$Y$55="Media",'Mapa final'!$AA$55="Leve"),CONCATENATE("R8C",'Mapa final'!$O$55),"")</f>
        <v/>
      </c>
      <c r="N33" s="82" t="str">
        <f>IF(AND('Mapa final'!$Y$56="Media",'Mapa final'!$AA$56="Leve"),CONCATENATE("R8C",'Mapa final'!$O$56),"")</f>
        <v/>
      </c>
      <c r="O33" s="83" t="str">
        <f>IF(AND('Mapa final'!$Y$57="Media",'Mapa final'!$AA$57="Leve"),CONCATENATE("R8C",'Mapa final'!$O$57),"")</f>
        <v/>
      </c>
      <c r="P33" s="81" t="str">
        <f>IF(AND('Mapa final'!$Y$52="Media",'Mapa final'!$AA$52="Menor"),CONCATENATE("R8C",'Mapa final'!$O$52),"")</f>
        <v/>
      </c>
      <c r="Q33" s="82" t="str">
        <f>IF(AND('Mapa final'!$Y$53="Media",'Mapa final'!$AA$53="Menor"),CONCATENATE("R8C",'Mapa final'!$O$53),"")</f>
        <v/>
      </c>
      <c r="R33" s="82" t="str">
        <f>IF(AND('Mapa final'!$Y$54="Media",'Mapa final'!$AA$54="Menor"),CONCATENATE("R8C",'Mapa final'!$O$54),"")</f>
        <v/>
      </c>
      <c r="S33" s="82" t="str">
        <f>IF(AND('Mapa final'!$Y$55="Media",'Mapa final'!$AA$55="Menor"),CONCATENATE("R8C",'Mapa final'!$O$55),"")</f>
        <v/>
      </c>
      <c r="T33" s="82" t="str">
        <f>IF(AND('Mapa final'!$Y$56="Media",'Mapa final'!$AA$56="Menor"),CONCATENATE("R8C",'Mapa final'!$O$56),"")</f>
        <v/>
      </c>
      <c r="U33" s="83" t="str">
        <f>IF(AND('Mapa final'!$Y$57="Media",'Mapa final'!$AA$57="Menor"),CONCATENATE("R8C",'Mapa final'!$O$57),"")</f>
        <v/>
      </c>
      <c r="V33" s="81" t="str">
        <f>IF(AND('Mapa final'!$Y$52="Media",'Mapa final'!$AA$52="Moderado"),CONCATENATE("R8C",'Mapa final'!$O$52),"")</f>
        <v/>
      </c>
      <c r="W33" s="82" t="str">
        <f>IF(AND('Mapa final'!$Y$53="Media",'Mapa final'!$AA$53="Moderado"),CONCATENATE("R8C",'Mapa final'!$O$53),"")</f>
        <v/>
      </c>
      <c r="X33" s="82" t="str">
        <f>IF(AND('Mapa final'!$Y$54="Media",'Mapa final'!$AA$54="Moderado"),CONCATENATE("R8C",'Mapa final'!$O$54),"")</f>
        <v/>
      </c>
      <c r="Y33" s="82" t="str">
        <f>IF(AND('Mapa final'!$Y$55="Media",'Mapa final'!$AA$55="Moderado"),CONCATENATE("R8C",'Mapa final'!$O$55),"")</f>
        <v/>
      </c>
      <c r="Z33" s="82" t="str">
        <f>IF(AND('Mapa final'!$Y$56="Media",'Mapa final'!$AA$56="Moderado"),CONCATENATE("R8C",'Mapa final'!$O$56),"")</f>
        <v/>
      </c>
      <c r="AA33" s="83" t="str">
        <f>IF(AND('Mapa final'!$Y$57="Media",'Mapa final'!$AA$57="Moderado"),CONCATENATE("R8C",'Mapa final'!$O$57),"")</f>
        <v/>
      </c>
      <c r="AB33" s="66" t="str">
        <f>IF(AND('Mapa final'!$Y$52="Media",'Mapa final'!$AA$52="Mayor"),CONCATENATE("R8C",'Mapa final'!$O$52),"")</f>
        <v/>
      </c>
      <c r="AC33" s="67" t="str">
        <f>IF(AND('Mapa final'!$Y$53="Media",'Mapa final'!$AA$53="Mayor"),CONCATENATE("R8C",'Mapa final'!$O$53),"")</f>
        <v/>
      </c>
      <c r="AD33" s="67" t="str">
        <f>IF(AND('Mapa final'!$Y$54="Media",'Mapa final'!$AA$54="Mayor"),CONCATENATE("R8C",'Mapa final'!$O$54),"")</f>
        <v/>
      </c>
      <c r="AE33" s="67" t="str">
        <f>IF(AND('Mapa final'!$Y$55="Media",'Mapa final'!$AA$55="Mayor"),CONCATENATE("R8C",'Mapa final'!$O$55),"")</f>
        <v/>
      </c>
      <c r="AF33" s="67" t="str">
        <f>IF(AND('Mapa final'!$Y$56="Media",'Mapa final'!$AA$56="Mayor"),CONCATENATE("R8C",'Mapa final'!$O$56),"")</f>
        <v/>
      </c>
      <c r="AG33" s="68" t="str">
        <f>IF(AND('Mapa final'!$Y$57="Media",'Mapa final'!$AA$57="Mayor"),CONCATENATE("R8C",'Mapa final'!$O$57),"")</f>
        <v/>
      </c>
      <c r="AH33" s="69" t="str">
        <f>IF(AND('Mapa final'!$Y$52="Media",'Mapa final'!$AA$52="Catastrófico"),CONCATENATE("R8C",'Mapa final'!$O$52),"")</f>
        <v/>
      </c>
      <c r="AI33" s="70" t="str">
        <f>IF(AND('Mapa final'!$Y$53="Media",'Mapa final'!$AA$53="Catastrófico"),CONCATENATE("R8C",'Mapa final'!$O$53),"")</f>
        <v/>
      </c>
      <c r="AJ33" s="70" t="str">
        <f>IF(AND('Mapa final'!$Y$54="Media",'Mapa final'!$AA$54="Catastrófico"),CONCATENATE("R8C",'Mapa final'!$O$54),"")</f>
        <v/>
      </c>
      <c r="AK33" s="70" t="str">
        <f>IF(AND('Mapa final'!$Y$55="Media",'Mapa final'!$AA$55="Catastrófico"),CONCATENATE("R8C",'Mapa final'!$O$55),"")</f>
        <v/>
      </c>
      <c r="AL33" s="70" t="str">
        <f>IF(AND('Mapa final'!$Y$56="Media",'Mapa final'!$AA$56="Catastrófico"),CONCATENATE("R8C",'Mapa final'!$O$56),"")</f>
        <v/>
      </c>
      <c r="AM33" s="71" t="str">
        <f>IF(AND('Mapa final'!$Y$57="Media",'Mapa final'!$AA$57="Catastrófico"),CONCATENATE("R8C",'Mapa final'!$O$57),"")</f>
        <v/>
      </c>
      <c r="AN33" s="97"/>
      <c r="AO33" s="374"/>
      <c r="AP33" s="375"/>
      <c r="AQ33" s="375"/>
      <c r="AR33" s="375"/>
      <c r="AS33" s="375"/>
      <c r="AT33" s="376"/>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row>
    <row r="34" spans="1:80" ht="15" customHeight="1" x14ac:dyDescent="0.25">
      <c r="A34" s="97"/>
      <c r="B34" s="246"/>
      <c r="C34" s="246"/>
      <c r="D34" s="247"/>
      <c r="E34" s="345"/>
      <c r="F34" s="344"/>
      <c r="G34" s="344"/>
      <c r="H34" s="344"/>
      <c r="I34" s="360"/>
      <c r="J34" s="81" t="str">
        <f>IF(AND('Mapa final'!$Y$58="Media",'Mapa final'!$AA$58="Leve"),CONCATENATE("R9C",'Mapa final'!$O$58),"")</f>
        <v/>
      </c>
      <c r="K34" s="82" t="str">
        <f>IF(AND('Mapa final'!$Y$59="Media",'Mapa final'!$AA$59="Leve"),CONCATENATE("R9C",'Mapa final'!$O$59),"")</f>
        <v/>
      </c>
      <c r="L34" s="82" t="str">
        <f>IF(AND('Mapa final'!$Y$60="Media",'Mapa final'!$AA$60="Leve"),CONCATENATE("R9C",'Mapa final'!$O$60),"")</f>
        <v/>
      </c>
      <c r="M34" s="82" t="str">
        <f>IF(AND('Mapa final'!$Y$61="Media",'Mapa final'!$AA$61="Leve"),CONCATENATE("R9C",'Mapa final'!$O$61),"")</f>
        <v/>
      </c>
      <c r="N34" s="82" t="str">
        <f>IF(AND('Mapa final'!$Y$62="Media",'Mapa final'!$AA$62="Leve"),CONCATENATE("R9C",'Mapa final'!$O$62),"")</f>
        <v/>
      </c>
      <c r="O34" s="83" t="str">
        <f>IF(AND('Mapa final'!$Y$63="Media",'Mapa final'!$AA$63="Leve"),CONCATENATE("R9C",'Mapa final'!$O$63),"")</f>
        <v/>
      </c>
      <c r="P34" s="81" t="str">
        <f>IF(AND('Mapa final'!$Y$58="Media",'Mapa final'!$AA$58="Menor"),CONCATENATE("R9C",'Mapa final'!$O$58),"")</f>
        <v/>
      </c>
      <c r="Q34" s="82" t="str">
        <f>IF(AND('Mapa final'!$Y$59="Media",'Mapa final'!$AA$59="Menor"),CONCATENATE("R9C",'Mapa final'!$O$59),"")</f>
        <v/>
      </c>
      <c r="R34" s="82" t="str">
        <f>IF(AND('Mapa final'!$Y$60="Media",'Mapa final'!$AA$60="Menor"),CONCATENATE("R9C",'Mapa final'!$O$60),"")</f>
        <v/>
      </c>
      <c r="S34" s="82" t="str">
        <f>IF(AND('Mapa final'!$Y$61="Media",'Mapa final'!$AA$61="Menor"),CONCATENATE("R9C",'Mapa final'!$O$61),"")</f>
        <v/>
      </c>
      <c r="T34" s="82" t="str">
        <f>IF(AND('Mapa final'!$Y$62="Media",'Mapa final'!$AA$62="Menor"),CONCATENATE("R9C",'Mapa final'!$O$62),"")</f>
        <v/>
      </c>
      <c r="U34" s="83" t="str">
        <f>IF(AND('Mapa final'!$Y$63="Media",'Mapa final'!$AA$63="Menor"),CONCATENATE("R9C",'Mapa final'!$O$63),"")</f>
        <v/>
      </c>
      <c r="V34" s="81" t="str">
        <f>IF(AND('Mapa final'!$Y$58="Media",'Mapa final'!$AA$58="Moderado"),CONCATENATE("R9C",'Mapa final'!$O$58),"")</f>
        <v/>
      </c>
      <c r="W34" s="82" t="str">
        <f>IF(AND('Mapa final'!$Y$59="Media",'Mapa final'!$AA$59="Moderado"),CONCATENATE("R9C",'Mapa final'!$O$59),"")</f>
        <v/>
      </c>
      <c r="X34" s="82" t="str">
        <f>IF(AND('Mapa final'!$Y$60="Media",'Mapa final'!$AA$60="Moderado"),CONCATENATE("R9C",'Mapa final'!$O$60),"")</f>
        <v/>
      </c>
      <c r="Y34" s="82" t="str">
        <f>IF(AND('Mapa final'!$Y$61="Media",'Mapa final'!$AA$61="Moderado"),CONCATENATE("R9C",'Mapa final'!$O$61),"")</f>
        <v/>
      </c>
      <c r="Z34" s="82" t="str">
        <f>IF(AND('Mapa final'!$Y$62="Media",'Mapa final'!$AA$62="Moderado"),CONCATENATE("R9C",'Mapa final'!$O$62),"")</f>
        <v/>
      </c>
      <c r="AA34" s="83" t="str">
        <f>IF(AND('Mapa final'!$Y$63="Media",'Mapa final'!$AA$63="Moderado"),CONCATENATE("R9C",'Mapa final'!$O$63),"")</f>
        <v/>
      </c>
      <c r="AB34" s="66" t="str">
        <f>IF(AND('Mapa final'!$Y$58="Media",'Mapa final'!$AA$58="Mayor"),CONCATENATE("R9C",'Mapa final'!$O$58),"")</f>
        <v/>
      </c>
      <c r="AC34" s="67" t="str">
        <f>IF(AND('Mapa final'!$Y$59="Media",'Mapa final'!$AA$59="Mayor"),CONCATENATE("R9C",'Mapa final'!$O$59),"")</f>
        <v/>
      </c>
      <c r="AD34" s="67" t="str">
        <f>IF(AND('Mapa final'!$Y$60="Media",'Mapa final'!$AA$60="Mayor"),CONCATENATE("R9C",'Mapa final'!$O$60),"")</f>
        <v/>
      </c>
      <c r="AE34" s="67" t="str">
        <f>IF(AND('Mapa final'!$Y$61="Media",'Mapa final'!$AA$61="Mayor"),CONCATENATE("R9C",'Mapa final'!$O$61),"")</f>
        <v/>
      </c>
      <c r="AF34" s="67" t="str">
        <f>IF(AND('Mapa final'!$Y$62="Media",'Mapa final'!$AA$62="Mayor"),CONCATENATE("R9C",'Mapa final'!$O$62),"")</f>
        <v/>
      </c>
      <c r="AG34" s="68" t="str">
        <f>IF(AND('Mapa final'!$Y$63="Media",'Mapa final'!$AA$63="Mayor"),CONCATENATE("R9C",'Mapa final'!$O$63),"")</f>
        <v/>
      </c>
      <c r="AH34" s="69" t="str">
        <f>IF(AND('Mapa final'!$Y$58="Media",'Mapa final'!$AA$58="Catastrófico"),CONCATENATE("R9C",'Mapa final'!$O$58),"")</f>
        <v/>
      </c>
      <c r="AI34" s="70" t="str">
        <f>IF(AND('Mapa final'!$Y$59="Media",'Mapa final'!$AA$59="Catastrófico"),CONCATENATE("R9C",'Mapa final'!$O$59),"")</f>
        <v/>
      </c>
      <c r="AJ34" s="70" t="str">
        <f>IF(AND('Mapa final'!$Y$60="Media",'Mapa final'!$AA$60="Catastrófico"),CONCATENATE("R9C",'Mapa final'!$O$60),"")</f>
        <v/>
      </c>
      <c r="AK34" s="70" t="str">
        <f>IF(AND('Mapa final'!$Y$61="Media",'Mapa final'!$AA$61="Catastrófico"),CONCATENATE("R9C",'Mapa final'!$O$61),"")</f>
        <v/>
      </c>
      <c r="AL34" s="70" t="str">
        <f>IF(AND('Mapa final'!$Y$62="Media",'Mapa final'!$AA$62="Catastrófico"),CONCATENATE("R9C",'Mapa final'!$O$62),"")</f>
        <v/>
      </c>
      <c r="AM34" s="71" t="str">
        <f>IF(AND('Mapa final'!$Y$63="Media",'Mapa final'!$AA$63="Catastrófico"),CONCATENATE("R9C",'Mapa final'!$O$63),"")</f>
        <v/>
      </c>
      <c r="AN34" s="97"/>
      <c r="AO34" s="374"/>
      <c r="AP34" s="375"/>
      <c r="AQ34" s="375"/>
      <c r="AR34" s="375"/>
      <c r="AS34" s="375"/>
      <c r="AT34" s="376"/>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row>
    <row r="35" spans="1:80" ht="15.75" customHeight="1" thickBot="1" x14ac:dyDescent="0.3">
      <c r="A35" s="97"/>
      <c r="B35" s="246"/>
      <c r="C35" s="246"/>
      <c r="D35" s="247"/>
      <c r="E35" s="346"/>
      <c r="F35" s="347"/>
      <c r="G35" s="347"/>
      <c r="H35" s="347"/>
      <c r="I35" s="361"/>
      <c r="J35" s="81" t="str">
        <f>IF(AND('Mapa final'!$Y$64="Media",'Mapa final'!$AA$64="Leve"),CONCATENATE("R10C",'Mapa final'!$O$64),"")</f>
        <v/>
      </c>
      <c r="K35" s="82" t="str">
        <f>IF(AND('Mapa final'!$Y$65="Media",'Mapa final'!$AA$65="Leve"),CONCATENATE("R10C",'Mapa final'!$O$65),"")</f>
        <v/>
      </c>
      <c r="L35" s="82" t="str">
        <f>IF(AND('Mapa final'!$Y$66="Media",'Mapa final'!$AA$66="Leve"),CONCATENATE("R10C",'Mapa final'!$O$66),"")</f>
        <v/>
      </c>
      <c r="M35" s="82" t="str">
        <f>IF(AND('Mapa final'!$Y$67="Media",'Mapa final'!$AA$67="Leve"),CONCATENATE("R10C",'Mapa final'!$O$67),"")</f>
        <v/>
      </c>
      <c r="N35" s="82" t="str">
        <f>IF(AND('Mapa final'!$Y$68="Media",'Mapa final'!$AA$68="Leve"),CONCATENATE("R10C",'Mapa final'!$O$68),"")</f>
        <v/>
      </c>
      <c r="O35" s="83" t="str">
        <f>IF(AND('Mapa final'!$Y$69="Media",'Mapa final'!$AA$69="Leve"),CONCATENATE("R10C",'Mapa final'!$O$69),"")</f>
        <v/>
      </c>
      <c r="P35" s="81" t="str">
        <f>IF(AND('Mapa final'!$Y$64="Media",'Mapa final'!$AA$64="Menor"),CONCATENATE("R10C",'Mapa final'!$O$64),"")</f>
        <v/>
      </c>
      <c r="Q35" s="82" t="str">
        <f>IF(AND('Mapa final'!$Y$65="Media",'Mapa final'!$AA$65="Menor"),CONCATENATE("R10C",'Mapa final'!$O$65),"")</f>
        <v/>
      </c>
      <c r="R35" s="82" t="str">
        <f>IF(AND('Mapa final'!$Y$66="Media",'Mapa final'!$AA$66="Menor"),CONCATENATE("R10C",'Mapa final'!$O$66),"")</f>
        <v/>
      </c>
      <c r="S35" s="82" t="str">
        <f>IF(AND('Mapa final'!$Y$67="Media",'Mapa final'!$AA$67="Menor"),CONCATENATE("R10C",'Mapa final'!$O$67),"")</f>
        <v/>
      </c>
      <c r="T35" s="82" t="str">
        <f>IF(AND('Mapa final'!$Y$68="Media",'Mapa final'!$AA$68="Menor"),CONCATENATE("R10C",'Mapa final'!$O$68),"")</f>
        <v/>
      </c>
      <c r="U35" s="83" t="str">
        <f>IF(AND('Mapa final'!$Y$69="Media",'Mapa final'!$AA$69="Menor"),CONCATENATE("R10C",'Mapa final'!$O$69),"")</f>
        <v/>
      </c>
      <c r="V35" s="81" t="str">
        <f>IF(AND('Mapa final'!$Y$64="Media",'Mapa final'!$AA$64="Moderado"),CONCATENATE("R10C",'Mapa final'!$O$64),"")</f>
        <v/>
      </c>
      <c r="W35" s="82" t="str">
        <f>IF(AND('Mapa final'!$Y$65="Media",'Mapa final'!$AA$65="Moderado"),CONCATENATE("R10C",'Mapa final'!$O$65),"")</f>
        <v/>
      </c>
      <c r="X35" s="82" t="str">
        <f>IF(AND('Mapa final'!$Y$66="Media",'Mapa final'!$AA$66="Moderado"),CONCATENATE("R10C",'Mapa final'!$O$66),"")</f>
        <v/>
      </c>
      <c r="Y35" s="82" t="str">
        <f>IF(AND('Mapa final'!$Y$67="Media",'Mapa final'!$AA$67="Moderado"),CONCATENATE("R10C",'Mapa final'!$O$67),"")</f>
        <v/>
      </c>
      <c r="Z35" s="82" t="str">
        <f>IF(AND('Mapa final'!$Y$68="Media",'Mapa final'!$AA$68="Moderado"),CONCATENATE("R10C",'Mapa final'!$O$68),"")</f>
        <v/>
      </c>
      <c r="AA35" s="83" t="str">
        <f>IF(AND('Mapa final'!$Y$69="Media",'Mapa final'!$AA$69="Moderado"),CONCATENATE("R10C",'Mapa final'!$O$69),"")</f>
        <v/>
      </c>
      <c r="AB35" s="72" t="str">
        <f>IF(AND('Mapa final'!$Y$64="Media",'Mapa final'!$AA$64="Mayor"),CONCATENATE("R10C",'Mapa final'!$O$64),"")</f>
        <v/>
      </c>
      <c r="AC35" s="73" t="str">
        <f>IF(AND('Mapa final'!$Y$65="Media",'Mapa final'!$AA$65="Mayor"),CONCATENATE("R10C",'Mapa final'!$O$65),"")</f>
        <v/>
      </c>
      <c r="AD35" s="73" t="str">
        <f>IF(AND('Mapa final'!$Y$66="Media",'Mapa final'!$AA$66="Mayor"),CONCATENATE("R10C",'Mapa final'!$O$66),"")</f>
        <v/>
      </c>
      <c r="AE35" s="73" t="str">
        <f>IF(AND('Mapa final'!$Y$67="Media",'Mapa final'!$AA$67="Mayor"),CONCATENATE("R10C",'Mapa final'!$O$67),"")</f>
        <v/>
      </c>
      <c r="AF35" s="73" t="str">
        <f>IF(AND('Mapa final'!$Y$68="Media",'Mapa final'!$AA$68="Mayor"),CONCATENATE("R10C",'Mapa final'!$O$68),"")</f>
        <v/>
      </c>
      <c r="AG35" s="74" t="str">
        <f>IF(AND('Mapa final'!$Y$69="Media",'Mapa final'!$AA$69="Mayor"),CONCATENATE("R10C",'Mapa final'!$O$69),"")</f>
        <v/>
      </c>
      <c r="AH35" s="75" t="str">
        <f>IF(AND('Mapa final'!$Y$64="Media",'Mapa final'!$AA$64="Catastrófico"),CONCATENATE("R10C",'Mapa final'!$O$64),"")</f>
        <v/>
      </c>
      <c r="AI35" s="76" t="str">
        <f>IF(AND('Mapa final'!$Y$65="Media",'Mapa final'!$AA$65="Catastrófico"),CONCATENATE("R10C",'Mapa final'!$O$65),"")</f>
        <v/>
      </c>
      <c r="AJ35" s="76" t="str">
        <f>IF(AND('Mapa final'!$Y$66="Media",'Mapa final'!$AA$66="Catastrófico"),CONCATENATE("R10C",'Mapa final'!$O$66),"")</f>
        <v/>
      </c>
      <c r="AK35" s="76" t="str">
        <f>IF(AND('Mapa final'!$Y$67="Media",'Mapa final'!$AA$67="Catastrófico"),CONCATENATE("R10C",'Mapa final'!$O$67),"")</f>
        <v/>
      </c>
      <c r="AL35" s="76" t="str">
        <f>IF(AND('Mapa final'!$Y$68="Media",'Mapa final'!$AA$68="Catastrófico"),CONCATENATE("R10C",'Mapa final'!$O$68),"")</f>
        <v/>
      </c>
      <c r="AM35" s="77" t="str">
        <f>IF(AND('Mapa final'!$Y$69="Media",'Mapa final'!$AA$69="Catastrófico"),CONCATENATE("R10C",'Mapa final'!$O$69),"")</f>
        <v/>
      </c>
      <c r="AN35" s="97"/>
      <c r="AO35" s="377"/>
      <c r="AP35" s="378"/>
      <c r="AQ35" s="378"/>
      <c r="AR35" s="378"/>
      <c r="AS35" s="378"/>
      <c r="AT35" s="379"/>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row>
    <row r="36" spans="1:80" ht="15" customHeight="1" x14ac:dyDescent="0.25">
      <c r="A36" s="97"/>
      <c r="B36" s="246"/>
      <c r="C36" s="246"/>
      <c r="D36" s="247"/>
      <c r="E36" s="341" t="s">
        <v>114</v>
      </c>
      <c r="F36" s="342"/>
      <c r="G36" s="342"/>
      <c r="H36" s="342"/>
      <c r="I36" s="342"/>
      <c r="J36" s="87" t="str">
        <f>IF(AND('Mapa final'!$Y$10="Baja",'Mapa final'!$AA$10="Leve"),CONCATENATE("R1C",'Mapa final'!$O$10),"")</f>
        <v/>
      </c>
      <c r="K36" s="88" t="str">
        <f>IF(AND('Mapa final'!$Y$11="Baja",'Mapa final'!$AA$11="Leve"),CONCATENATE("R1C",'Mapa final'!$O$11),"")</f>
        <v/>
      </c>
      <c r="L36" s="88" t="str">
        <f>IF(AND('Mapa final'!$Y$12="Baja",'Mapa final'!$AA$12="Leve"),CONCATENATE("R1C",'Mapa final'!$O$12),"")</f>
        <v/>
      </c>
      <c r="M36" s="88" t="str">
        <f>IF(AND('Mapa final'!$Y$13="Baja",'Mapa final'!$AA$13="Leve"),CONCATENATE("R1C",'Mapa final'!$O$13),"")</f>
        <v/>
      </c>
      <c r="N36" s="88" t="str">
        <f>IF(AND('Mapa final'!$Y$14="Baja",'Mapa final'!$AA$14="Leve"),CONCATENATE("R1C",'Mapa final'!$O$14),"")</f>
        <v/>
      </c>
      <c r="O36" s="89" t="str">
        <f>IF(AND('Mapa final'!$Y$15="Baja",'Mapa final'!$AA$15="Leve"),CONCATENATE("R1C",'Mapa final'!$O$15),"")</f>
        <v/>
      </c>
      <c r="P36" s="78" t="str">
        <f>IF(AND('Mapa final'!$Y$10="Baja",'Mapa final'!$AA$10="Menor"),CONCATENATE("R1C",'Mapa final'!$O$10),"")</f>
        <v>R1C1</v>
      </c>
      <c r="Q36" s="79" t="str">
        <f>IF(AND('Mapa final'!$Y$11="Baja",'Mapa final'!$AA$11="Menor"),CONCATENATE("R1C",'Mapa final'!$O$11),"")</f>
        <v/>
      </c>
      <c r="R36" s="79" t="str">
        <f>IF(AND('Mapa final'!$Y$12="Baja",'Mapa final'!$AA$12="Menor"),CONCATENATE("R1C",'Mapa final'!$O$12),"")</f>
        <v/>
      </c>
      <c r="S36" s="79" t="str">
        <f>IF(AND('Mapa final'!$Y$13="Baja",'Mapa final'!$AA$13="Menor"),CONCATENATE("R1C",'Mapa final'!$O$13),"")</f>
        <v/>
      </c>
      <c r="T36" s="79" t="str">
        <f>IF(AND('Mapa final'!$Y$14="Baja",'Mapa final'!$AA$14="Menor"),CONCATENATE("R1C",'Mapa final'!$O$14),"")</f>
        <v/>
      </c>
      <c r="U36" s="80" t="str">
        <f>IF(AND('Mapa final'!$Y$15="Baja",'Mapa final'!$AA$15="Menor"),CONCATENATE("R1C",'Mapa final'!$O$15),"")</f>
        <v/>
      </c>
      <c r="V36" s="78" t="str">
        <f>IF(AND('Mapa final'!$Y$10="Baja",'Mapa final'!$AA$10="Moderado"),CONCATENATE("R1C",'Mapa final'!$O$10),"")</f>
        <v/>
      </c>
      <c r="W36" s="79" t="str">
        <f>IF(AND('Mapa final'!$Y$11="Baja",'Mapa final'!$AA$11="Moderado"),CONCATENATE("R1C",'Mapa final'!$O$11),"")</f>
        <v/>
      </c>
      <c r="X36" s="79" t="str">
        <f>IF(AND('Mapa final'!$Y$12="Baja",'Mapa final'!$AA$12="Moderado"),CONCATENATE("R1C",'Mapa final'!$O$12),"")</f>
        <v/>
      </c>
      <c r="Y36" s="79" t="str">
        <f>IF(AND('Mapa final'!$Y$13="Baja",'Mapa final'!$AA$13="Moderado"),CONCATENATE("R1C",'Mapa final'!$O$13),"")</f>
        <v/>
      </c>
      <c r="Z36" s="79" t="str">
        <f>IF(AND('Mapa final'!$Y$14="Baja",'Mapa final'!$AA$14="Moderado"),CONCATENATE("R1C",'Mapa final'!$O$14),"")</f>
        <v/>
      </c>
      <c r="AA36" s="80" t="str">
        <f>IF(AND('Mapa final'!$Y$15="Baja",'Mapa final'!$AA$15="Moderado"),CONCATENATE("R1C",'Mapa final'!$O$15),"")</f>
        <v/>
      </c>
      <c r="AB36" s="60" t="str">
        <f>IF(AND('Mapa final'!$Y$10="Baja",'Mapa final'!$AA$10="Mayor"),CONCATENATE("R1C",'Mapa final'!$O$10),"")</f>
        <v/>
      </c>
      <c r="AC36" s="61" t="str">
        <f>IF(AND('Mapa final'!$Y$11="Baja",'Mapa final'!$AA$11="Mayor"),CONCATENATE("R1C",'Mapa final'!$O$11),"")</f>
        <v/>
      </c>
      <c r="AD36" s="61" t="str">
        <f>IF(AND('Mapa final'!$Y$12="Baja",'Mapa final'!$AA$12="Mayor"),CONCATENATE("R1C",'Mapa final'!$O$12),"")</f>
        <v/>
      </c>
      <c r="AE36" s="61" t="str">
        <f>IF(AND('Mapa final'!$Y$13="Baja",'Mapa final'!$AA$13="Mayor"),CONCATENATE("R1C",'Mapa final'!$O$13),"")</f>
        <v/>
      </c>
      <c r="AF36" s="61" t="str">
        <f>IF(AND('Mapa final'!$Y$14="Baja",'Mapa final'!$AA$14="Mayor"),CONCATENATE("R1C",'Mapa final'!$O$14),"")</f>
        <v/>
      </c>
      <c r="AG36" s="62" t="str">
        <f>IF(AND('Mapa final'!$Y$15="Baja",'Mapa final'!$AA$15="Mayor"),CONCATENATE("R1C",'Mapa final'!$O$15),"")</f>
        <v/>
      </c>
      <c r="AH36" s="63" t="str">
        <f>IF(AND('Mapa final'!$Y$10="Baja",'Mapa final'!$AA$10="Catastrófico"),CONCATENATE("R1C",'Mapa final'!$O$10),"")</f>
        <v/>
      </c>
      <c r="AI36" s="64" t="str">
        <f>IF(AND('Mapa final'!$Y$11="Baja",'Mapa final'!$AA$11="Catastrófico"),CONCATENATE("R1C",'Mapa final'!$O$11),"")</f>
        <v/>
      </c>
      <c r="AJ36" s="64" t="str">
        <f>IF(AND('Mapa final'!$Y$12="Baja",'Mapa final'!$AA$12="Catastrófico"),CONCATENATE("R1C",'Mapa final'!$O$12),"")</f>
        <v/>
      </c>
      <c r="AK36" s="64" t="str">
        <f>IF(AND('Mapa final'!$Y$13="Baja",'Mapa final'!$AA$13="Catastrófico"),CONCATENATE("R1C",'Mapa final'!$O$13),"")</f>
        <v/>
      </c>
      <c r="AL36" s="64" t="str">
        <f>IF(AND('Mapa final'!$Y$14="Baja",'Mapa final'!$AA$14="Catastrófico"),CONCATENATE("R1C",'Mapa final'!$O$14),"")</f>
        <v/>
      </c>
      <c r="AM36" s="65" t="str">
        <f>IF(AND('Mapa final'!$Y$15="Baja",'Mapa final'!$AA$15="Catastrófico"),CONCATENATE("R1C",'Mapa final'!$O$15),"")</f>
        <v/>
      </c>
      <c r="AN36" s="97"/>
      <c r="AO36" s="362" t="s">
        <v>82</v>
      </c>
      <c r="AP36" s="363"/>
      <c r="AQ36" s="363"/>
      <c r="AR36" s="363"/>
      <c r="AS36" s="363"/>
      <c r="AT36" s="364"/>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row>
    <row r="37" spans="1:80" ht="15" customHeight="1" x14ac:dyDescent="0.25">
      <c r="A37" s="97"/>
      <c r="B37" s="246"/>
      <c r="C37" s="246"/>
      <c r="D37" s="247"/>
      <c r="E37" s="343"/>
      <c r="F37" s="344"/>
      <c r="G37" s="344"/>
      <c r="H37" s="344"/>
      <c r="I37" s="344"/>
      <c r="J37" s="90" t="str">
        <f>IF(AND('Mapa final'!$Y$16="Baja",'Mapa final'!$AA$16="Leve"),CONCATENATE("R2C",'Mapa final'!$O$16),"")</f>
        <v/>
      </c>
      <c r="K37" s="91" t="str">
        <f>IF(AND('Mapa final'!$Y$17="Baja",'Mapa final'!$AA$17="Leve"),CONCATENATE("R2C",'Mapa final'!$O$17),"")</f>
        <v/>
      </c>
      <c r="L37" s="91" t="str">
        <f>IF(AND('Mapa final'!$Y$18="Baja",'Mapa final'!$AA$18="Leve"),CONCATENATE("R2C",'Mapa final'!$O$18),"")</f>
        <v/>
      </c>
      <c r="M37" s="91" t="str">
        <f>IF(AND('Mapa final'!$Y$19="Baja",'Mapa final'!$AA$19="Leve"),CONCATENATE("R2C",'Mapa final'!$O$19),"")</f>
        <v/>
      </c>
      <c r="N37" s="91" t="str">
        <f>IF(AND('Mapa final'!$Y$20="Baja",'Mapa final'!$AA$20="Leve"),CONCATENATE("R2C",'Mapa final'!$O$20),"")</f>
        <v/>
      </c>
      <c r="O37" s="92" t="str">
        <f>IF(AND('Mapa final'!$Y$21="Baja",'Mapa final'!$AA$21="Leve"),CONCATENATE("R2C",'Mapa final'!$O$21),"")</f>
        <v/>
      </c>
      <c r="P37" s="81" t="str">
        <f>IF(AND('Mapa final'!$Y$16="Baja",'Mapa final'!$AA$16="Menor"),CONCATENATE("R2C",'Mapa final'!$O$16),"")</f>
        <v/>
      </c>
      <c r="Q37" s="82" t="str">
        <f>IF(AND('Mapa final'!$Y$17="Baja",'Mapa final'!$AA$17="Menor"),CONCATENATE("R2C",'Mapa final'!$O$17),"")</f>
        <v/>
      </c>
      <c r="R37" s="82" t="str">
        <f>IF(AND('Mapa final'!$Y$18="Baja",'Mapa final'!$AA$18="Menor"),CONCATENATE("R2C",'Mapa final'!$O$18),"")</f>
        <v/>
      </c>
      <c r="S37" s="82" t="str">
        <f>IF(AND('Mapa final'!$Y$19="Baja",'Mapa final'!$AA$19="Menor"),CONCATENATE("R2C",'Mapa final'!$O$19),"")</f>
        <v/>
      </c>
      <c r="T37" s="82" t="str">
        <f>IF(AND('Mapa final'!$Y$20="Baja",'Mapa final'!$AA$20="Menor"),CONCATENATE("R2C",'Mapa final'!$O$20),"")</f>
        <v/>
      </c>
      <c r="U37" s="83" t="str">
        <f>IF(AND('Mapa final'!$Y$21="Baja",'Mapa final'!$AA$21="Menor"),CONCATENATE("R2C",'Mapa final'!$O$21),"")</f>
        <v/>
      </c>
      <c r="V37" s="81" t="str">
        <f>IF(AND('Mapa final'!$Y$16="Baja",'Mapa final'!$AA$16="Moderado"),CONCATENATE("R2C",'Mapa final'!$O$16),"")</f>
        <v>R2C1</v>
      </c>
      <c r="W37" s="82" t="str">
        <f>IF(AND('Mapa final'!$Y$17="Baja",'Mapa final'!$AA$17="Moderado"),CONCATENATE("R2C",'Mapa final'!$O$17),"")</f>
        <v/>
      </c>
      <c r="X37" s="82" t="str">
        <f>IF(AND('Mapa final'!$Y$18="Baja",'Mapa final'!$AA$18="Moderado"),CONCATENATE("R2C",'Mapa final'!$O$18),"")</f>
        <v/>
      </c>
      <c r="Y37" s="82" t="str">
        <f>IF(AND('Mapa final'!$Y$19="Baja",'Mapa final'!$AA$19="Moderado"),CONCATENATE("R2C",'Mapa final'!$O$19),"")</f>
        <v/>
      </c>
      <c r="Z37" s="82" t="str">
        <f>IF(AND('Mapa final'!$Y$20="Baja",'Mapa final'!$AA$20="Moderado"),CONCATENATE("R2C",'Mapa final'!$O$20),"")</f>
        <v/>
      </c>
      <c r="AA37" s="83" t="str">
        <f>IF(AND('Mapa final'!$Y$21="Baja",'Mapa final'!$AA$21="Moderado"),CONCATENATE("R2C",'Mapa final'!$O$21),"")</f>
        <v/>
      </c>
      <c r="AB37" s="66" t="str">
        <f>IF(AND('Mapa final'!$Y$16="Baja",'Mapa final'!$AA$16="Mayor"),CONCATENATE("R2C",'Mapa final'!$O$16),"")</f>
        <v/>
      </c>
      <c r="AC37" s="67" t="str">
        <f>IF(AND('Mapa final'!$Y$17="Baja",'Mapa final'!$AA$17="Mayor"),CONCATENATE("R2C",'Mapa final'!$O$17),"")</f>
        <v/>
      </c>
      <c r="AD37" s="67" t="str">
        <f>IF(AND('Mapa final'!$Y$18="Baja",'Mapa final'!$AA$18="Mayor"),CONCATENATE("R2C",'Mapa final'!$O$18),"")</f>
        <v/>
      </c>
      <c r="AE37" s="67" t="str">
        <f>IF(AND('Mapa final'!$Y$19="Baja",'Mapa final'!$AA$19="Mayor"),CONCATENATE("R2C",'Mapa final'!$O$19),"")</f>
        <v/>
      </c>
      <c r="AF37" s="67" t="str">
        <f>IF(AND('Mapa final'!$Y$20="Baja",'Mapa final'!$AA$20="Mayor"),CONCATENATE("R2C",'Mapa final'!$O$20),"")</f>
        <v/>
      </c>
      <c r="AG37" s="68" t="str">
        <f>IF(AND('Mapa final'!$Y$21="Baja",'Mapa final'!$AA$21="Mayor"),CONCATENATE("R2C",'Mapa final'!$O$21),"")</f>
        <v/>
      </c>
      <c r="AH37" s="69" t="str">
        <f>IF(AND('Mapa final'!$Y$16="Baja",'Mapa final'!$AA$16="Catastrófico"),CONCATENATE("R2C",'Mapa final'!$O$16),"")</f>
        <v/>
      </c>
      <c r="AI37" s="70" t="str">
        <f>IF(AND('Mapa final'!$Y$17="Baja",'Mapa final'!$AA$17="Catastrófico"),CONCATENATE("R2C",'Mapa final'!$O$17),"")</f>
        <v/>
      </c>
      <c r="AJ37" s="70" t="str">
        <f>IF(AND('Mapa final'!$Y$18="Baja",'Mapa final'!$AA$18="Catastrófico"),CONCATENATE("R2C",'Mapa final'!$O$18),"")</f>
        <v/>
      </c>
      <c r="AK37" s="70" t="str">
        <f>IF(AND('Mapa final'!$Y$19="Baja",'Mapa final'!$AA$19="Catastrófico"),CONCATENATE("R2C",'Mapa final'!$O$19),"")</f>
        <v/>
      </c>
      <c r="AL37" s="70" t="str">
        <f>IF(AND('Mapa final'!$Y$20="Baja",'Mapa final'!$AA$20="Catastrófico"),CONCATENATE("R2C",'Mapa final'!$O$20),"")</f>
        <v/>
      </c>
      <c r="AM37" s="71" t="str">
        <f>IF(AND('Mapa final'!$Y$21="Baja",'Mapa final'!$AA$21="Catastrófico"),CONCATENATE("R2C",'Mapa final'!$O$21),"")</f>
        <v/>
      </c>
      <c r="AN37" s="97"/>
      <c r="AO37" s="365"/>
      <c r="AP37" s="366"/>
      <c r="AQ37" s="366"/>
      <c r="AR37" s="366"/>
      <c r="AS37" s="366"/>
      <c r="AT37" s="36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row>
    <row r="38" spans="1:80" ht="15" customHeight="1" x14ac:dyDescent="0.25">
      <c r="A38" s="97"/>
      <c r="B38" s="246"/>
      <c r="C38" s="246"/>
      <c r="D38" s="247"/>
      <c r="E38" s="345"/>
      <c r="F38" s="344"/>
      <c r="G38" s="344"/>
      <c r="H38" s="344"/>
      <c r="I38" s="344"/>
      <c r="J38" s="90" t="str">
        <f>IF(AND('Mapa final'!$Y$22="Baja",'Mapa final'!$AA$22="Leve"),CONCATENATE("R3C",'Mapa final'!$O$22),"")</f>
        <v>R3C1</v>
      </c>
      <c r="K38" s="91" t="str">
        <f>IF(AND('Mapa final'!$Y$23="Baja",'Mapa final'!$AA$23="Leve"),CONCATENATE("R3C",'Mapa final'!$O$23),"")</f>
        <v/>
      </c>
      <c r="L38" s="91" t="str">
        <f>IF(AND('Mapa final'!$Y$24="Baja",'Mapa final'!$AA$24="Leve"),CONCATENATE("R3C",'Mapa final'!$O$24),"")</f>
        <v/>
      </c>
      <c r="M38" s="91" t="str">
        <f>IF(AND('Mapa final'!$Y$25="Baja",'Mapa final'!$AA$25="Leve"),CONCATENATE("R3C",'Mapa final'!$O$25),"")</f>
        <v/>
      </c>
      <c r="N38" s="91" t="str">
        <f>IF(AND('Mapa final'!$Y$26="Baja",'Mapa final'!$AA$26="Leve"),CONCATENATE("R3C",'Mapa final'!$O$26),"")</f>
        <v/>
      </c>
      <c r="O38" s="92" t="str">
        <f>IF(AND('Mapa final'!$Y$27="Baja",'Mapa final'!$AA$27="Leve"),CONCATENATE("R3C",'Mapa final'!$O$27),"")</f>
        <v/>
      </c>
      <c r="P38" s="81" t="str">
        <f>IF(AND('Mapa final'!$Y$22="Baja",'Mapa final'!$AA$22="Menor"),CONCATENATE("R3C",'Mapa final'!$O$22),"")</f>
        <v/>
      </c>
      <c r="Q38" s="82" t="str">
        <f>IF(AND('Mapa final'!$Y$23="Baja",'Mapa final'!$AA$23="Menor"),CONCATENATE("R3C",'Mapa final'!$O$23),"")</f>
        <v/>
      </c>
      <c r="R38" s="82" t="str">
        <f>IF(AND('Mapa final'!$Y$24="Baja",'Mapa final'!$AA$24="Menor"),CONCATENATE("R3C",'Mapa final'!$O$24),"")</f>
        <v/>
      </c>
      <c r="S38" s="82" t="str">
        <f>IF(AND('Mapa final'!$Y$25="Baja",'Mapa final'!$AA$25="Menor"),CONCATENATE("R3C",'Mapa final'!$O$25),"")</f>
        <v/>
      </c>
      <c r="T38" s="82" t="str">
        <f>IF(AND('Mapa final'!$Y$26="Baja",'Mapa final'!$AA$26="Menor"),CONCATENATE("R3C",'Mapa final'!$O$26),"")</f>
        <v/>
      </c>
      <c r="U38" s="83" t="str">
        <f>IF(AND('Mapa final'!$Y$27="Baja",'Mapa final'!$AA$27="Menor"),CONCATENATE("R3C",'Mapa final'!$O$27),"")</f>
        <v/>
      </c>
      <c r="V38" s="81" t="str">
        <f>IF(AND('Mapa final'!$Y$22="Baja",'Mapa final'!$AA$22="Moderado"),CONCATENATE("R3C",'Mapa final'!$O$22),"")</f>
        <v/>
      </c>
      <c r="W38" s="82" t="str">
        <f>IF(AND('Mapa final'!$Y$23="Baja",'Mapa final'!$AA$23="Moderado"),CONCATENATE("R3C",'Mapa final'!$O$23),"")</f>
        <v/>
      </c>
      <c r="X38" s="82" t="str">
        <f>IF(AND('Mapa final'!$Y$24="Baja",'Mapa final'!$AA$24="Moderado"),CONCATENATE("R3C",'Mapa final'!$O$24),"")</f>
        <v/>
      </c>
      <c r="Y38" s="82" t="str">
        <f>IF(AND('Mapa final'!$Y$25="Baja",'Mapa final'!$AA$25="Moderado"),CONCATENATE("R3C",'Mapa final'!$O$25),"")</f>
        <v/>
      </c>
      <c r="Z38" s="82" t="str">
        <f>IF(AND('Mapa final'!$Y$26="Baja",'Mapa final'!$AA$26="Moderado"),CONCATENATE("R3C",'Mapa final'!$O$26),"")</f>
        <v/>
      </c>
      <c r="AA38" s="83" t="str">
        <f>IF(AND('Mapa final'!$Y$27="Baja",'Mapa final'!$AA$27="Moderado"),CONCATENATE("R3C",'Mapa final'!$O$27),"")</f>
        <v/>
      </c>
      <c r="AB38" s="66" t="str">
        <f>IF(AND('Mapa final'!$Y$22="Baja",'Mapa final'!$AA$22="Mayor"),CONCATENATE("R3C",'Mapa final'!$O$22),"")</f>
        <v/>
      </c>
      <c r="AC38" s="67" t="str">
        <f>IF(AND('Mapa final'!$Y$23="Baja",'Mapa final'!$AA$23="Mayor"),CONCATENATE("R3C",'Mapa final'!$O$23),"")</f>
        <v/>
      </c>
      <c r="AD38" s="67" t="str">
        <f>IF(AND('Mapa final'!$Y$24="Baja",'Mapa final'!$AA$24="Mayor"),CONCATENATE("R3C",'Mapa final'!$O$24),"")</f>
        <v/>
      </c>
      <c r="AE38" s="67" t="str">
        <f>IF(AND('Mapa final'!$Y$25="Baja",'Mapa final'!$AA$25="Mayor"),CONCATENATE("R3C",'Mapa final'!$O$25),"")</f>
        <v/>
      </c>
      <c r="AF38" s="67" t="str">
        <f>IF(AND('Mapa final'!$Y$26="Baja",'Mapa final'!$AA$26="Mayor"),CONCATENATE("R3C",'Mapa final'!$O$26),"")</f>
        <v/>
      </c>
      <c r="AG38" s="68" t="str">
        <f>IF(AND('Mapa final'!$Y$27="Baja",'Mapa final'!$AA$27="Mayor"),CONCATENATE("R3C",'Mapa final'!$O$27),"")</f>
        <v/>
      </c>
      <c r="AH38" s="69" t="str">
        <f>IF(AND('Mapa final'!$Y$22="Baja",'Mapa final'!$AA$22="Catastrófico"),CONCATENATE("R3C",'Mapa final'!$O$22),"")</f>
        <v/>
      </c>
      <c r="AI38" s="70" t="str">
        <f>IF(AND('Mapa final'!$Y$23="Baja",'Mapa final'!$AA$23="Catastrófico"),CONCATENATE("R3C",'Mapa final'!$O$23),"")</f>
        <v/>
      </c>
      <c r="AJ38" s="70" t="str">
        <f>IF(AND('Mapa final'!$Y$24="Baja",'Mapa final'!$AA$24="Catastrófico"),CONCATENATE("R3C",'Mapa final'!$O$24),"")</f>
        <v/>
      </c>
      <c r="AK38" s="70" t="str">
        <f>IF(AND('Mapa final'!$Y$25="Baja",'Mapa final'!$AA$25="Catastrófico"),CONCATENATE("R3C",'Mapa final'!$O$25),"")</f>
        <v/>
      </c>
      <c r="AL38" s="70" t="str">
        <f>IF(AND('Mapa final'!$Y$26="Baja",'Mapa final'!$AA$26="Catastrófico"),CONCATENATE("R3C",'Mapa final'!$O$26),"")</f>
        <v/>
      </c>
      <c r="AM38" s="71" t="str">
        <f>IF(AND('Mapa final'!$Y$27="Baja",'Mapa final'!$AA$27="Catastrófico"),CONCATENATE("R3C",'Mapa final'!$O$27),"")</f>
        <v/>
      </c>
      <c r="AN38" s="97"/>
      <c r="AO38" s="365"/>
      <c r="AP38" s="366"/>
      <c r="AQ38" s="366"/>
      <c r="AR38" s="366"/>
      <c r="AS38" s="366"/>
      <c r="AT38" s="36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row>
    <row r="39" spans="1:80" ht="15" customHeight="1" x14ac:dyDescent="0.25">
      <c r="A39" s="97"/>
      <c r="B39" s="246"/>
      <c r="C39" s="246"/>
      <c r="D39" s="247"/>
      <c r="E39" s="345"/>
      <c r="F39" s="344"/>
      <c r="G39" s="344"/>
      <c r="H39" s="344"/>
      <c r="I39" s="344"/>
      <c r="J39" s="90" t="str">
        <f>IF(AND('Mapa final'!$Y$28="Baja",'Mapa final'!$AA$28="Leve"),CONCATENATE("R4C",'Mapa final'!$O$28),"")</f>
        <v/>
      </c>
      <c r="K39" s="91" t="str">
        <f>IF(AND('Mapa final'!$Y$29="Baja",'Mapa final'!$AA$29="Leve"),CONCATENATE("R4C",'Mapa final'!$O$29),"")</f>
        <v/>
      </c>
      <c r="L39" s="91" t="str">
        <f>IF(AND('Mapa final'!$Y$30="Baja",'Mapa final'!$AA$30="Leve"),CONCATENATE("R4C",'Mapa final'!$O$30),"")</f>
        <v/>
      </c>
      <c r="M39" s="91" t="str">
        <f>IF(AND('Mapa final'!$Y$31="Baja",'Mapa final'!$AA$31="Leve"),CONCATENATE("R4C",'Mapa final'!$O$31),"")</f>
        <v/>
      </c>
      <c r="N39" s="91" t="str">
        <f>IF(AND('Mapa final'!$Y$32="Baja",'Mapa final'!$AA$32="Leve"),CONCATENATE("R4C",'Mapa final'!$O$32),"")</f>
        <v/>
      </c>
      <c r="O39" s="92" t="str">
        <f>IF(AND('Mapa final'!$Y$33="Baja",'Mapa final'!$AA$33="Leve"),CONCATENATE("R4C",'Mapa final'!$O$33),"")</f>
        <v/>
      </c>
      <c r="P39" s="81" t="str">
        <f>IF(AND('Mapa final'!$Y$28="Baja",'Mapa final'!$AA$28="Menor"),CONCATENATE("R4C",'Mapa final'!$O$28),"")</f>
        <v>R4C1</v>
      </c>
      <c r="Q39" s="82" t="str">
        <f>IF(AND('Mapa final'!$Y$29="Baja",'Mapa final'!$AA$29="Menor"),CONCATENATE("R4C",'Mapa final'!$O$29),"")</f>
        <v/>
      </c>
      <c r="R39" s="82" t="str">
        <f>IF(AND('Mapa final'!$Y$30="Baja",'Mapa final'!$AA$30="Menor"),CONCATENATE("R4C",'Mapa final'!$O$30),"")</f>
        <v/>
      </c>
      <c r="S39" s="82" t="str">
        <f>IF(AND('Mapa final'!$Y$31="Baja",'Mapa final'!$AA$31="Menor"),CONCATENATE("R4C",'Mapa final'!$O$31),"")</f>
        <v/>
      </c>
      <c r="T39" s="82" t="str">
        <f>IF(AND('Mapa final'!$Y$32="Baja",'Mapa final'!$AA$32="Menor"),CONCATENATE("R4C",'Mapa final'!$O$32),"")</f>
        <v/>
      </c>
      <c r="U39" s="83" t="str">
        <f>IF(AND('Mapa final'!$Y$33="Baja",'Mapa final'!$AA$33="Menor"),CONCATENATE("R4C",'Mapa final'!$O$33),"")</f>
        <v/>
      </c>
      <c r="V39" s="81" t="str">
        <f>IF(AND('Mapa final'!$Y$28="Baja",'Mapa final'!$AA$28="Moderado"),CONCATENATE("R4C",'Mapa final'!$O$28),"")</f>
        <v/>
      </c>
      <c r="W39" s="82" t="str">
        <f>IF(AND('Mapa final'!$Y$29="Baja",'Mapa final'!$AA$29="Moderado"),CONCATENATE("R4C",'Mapa final'!$O$29),"")</f>
        <v/>
      </c>
      <c r="X39" s="82" t="str">
        <f>IF(AND('Mapa final'!$Y$30="Baja",'Mapa final'!$AA$30="Moderado"),CONCATENATE("R4C",'Mapa final'!$O$30),"")</f>
        <v/>
      </c>
      <c r="Y39" s="82" t="str">
        <f>IF(AND('Mapa final'!$Y$31="Baja",'Mapa final'!$AA$31="Moderado"),CONCATENATE("R4C",'Mapa final'!$O$31),"")</f>
        <v/>
      </c>
      <c r="Z39" s="82" t="str">
        <f>IF(AND('Mapa final'!$Y$32="Baja",'Mapa final'!$AA$32="Moderado"),CONCATENATE("R4C",'Mapa final'!$O$32),"")</f>
        <v/>
      </c>
      <c r="AA39" s="83" t="str">
        <f>IF(AND('Mapa final'!$Y$33="Baja",'Mapa final'!$AA$33="Moderado"),CONCATENATE("R4C",'Mapa final'!$O$33),"")</f>
        <v/>
      </c>
      <c r="AB39" s="66" t="str">
        <f>IF(AND('Mapa final'!$Y$28="Baja",'Mapa final'!$AA$28="Mayor"),CONCATENATE("R4C",'Mapa final'!$O$28),"")</f>
        <v/>
      </c>
      <c r="AC39" s="67" t="str">
        <f>IF(AND('Mapa final'!$Y$29="Baja",'Mapa final'!$AA$29="Mayor"),CONCATENATE("R4C",'Mapa final'!$O$29),"")</f>
        <v/>
      </c>
      <c r="AD39" s="67" t="str">
        <f>IF(AND('Mapa final'!$Y$30="Baja",'Mapa final'!$AA$30="Mayor"),CONCATENATE("R4C",'Mapa final'!$O$30),"")</f>
        <v/>
      </c>
      <c r="AE39" s="67" t="str">
        <f>IF(AND('Mapa final'!$Y$31="Baja",'Mapa final'!$AA$31="Mayor"),CONCATENATE("R4C",'Mapa final'!$O$31),"")</f>
        <v/>
      </c>
      <c r="AF39" s="67" t="str">
        <f>IF(AND('Mapa final'!$Y$32="Baja",'Mapa final'!$AA$32="Mayor"),CONCATENATE("R4C",'Mapa final'!$O$32),"")</f>
        <v/>
      </c>
      <c r="AG39" s="68" t="str">
        <f>IF(AND('Mapa final'!$Y$33="Baja",'Mapa final'!$AA$33="Mayor"),CONCATENATE("R4C",'Mapa final'!$O$33),"")</f>
        <v/>
      </c>
      <c r="AH39" s="69" t="str">
        <f>IF(AND('Mapa final'!$Y$28="Baja",'Mapa final'!$AA$28="Catastrófico"),CONCATENATE("R4C",'Mapa final'!$O$28),"")</f>
        <v/>
      </c>
      <c r="AI39" s="70" t="str">
        <f>IF(AND('Mapa final'!$Y$29="Baja",'Mapa final'!$AA$29="Catastrófico"),CONCATENATE("R4C",'Mapa final'!$O$29),"")</f>
        <v/>
      </c>
      <c r="AJ39" s="70" t="str">
        <f>IF(AND('Mapa final'!$Y$30="Baja",'Mapa final'!$AA$30="Catastrófico"),CONCATENATE("R4C",'Mapa final'!$O$30),"")</f>
        <v/>
      </c>
      <c r="AK39" s="70" t="str">
        <f>IF(AND('Mapa final'!$Y$31="Baja",'Mapa final'!$AA$31="Catastrófico"),CONCATENATE("R4C",'Mapa final'!$O$31),"")</f>
        <v/>
      </c>
      <c r="AL39" s="70" t="str">
        <f>IF(AND('Mapa final'!$Y$32="Baja",'Mapa final'!$AA$32="Catastrófico"),CONCATENATE("R4C",'Mapa final'!$O$32),"")</f>
        <v/>
      </c>
      <c r="AM39" s="71" t="str">
        <f>IF(AND('Mapa final'!$Y$33="Baja",'Mapa final'!$AA$33="Catastrófico"),CONCATENATE("R4C",'Mapa final'!$O$33),"")</f>
        <v/>
      </c>
      <c r="AN39" s="97"/>
      <c r="AO39" s="365"/>
      <c r="AP39" s="366"/>
      <c r="AQ39" s="366"/>
      <c r="AR39" s="366"/>
      <c r="AS39" s="366"/>
      <c r="AT39" s="36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row>
    <row r="40" spans="1:80" ht="15" customHeight="1" x14ac:dyDescent="0.25">
      <c r="A40" s="97"/>
      <c r="B40" s="246"/>
      <c r="C40" s="246"/>
      <c r="D40" s="247"/>
      <c r="E40" s="345"/>
      <c r="F40" s="344"/>
      <c r="G40" s="344"/>
      <c r="H40" s="344"/>
      <c r="I40" s="344"/>
      <c r="J40" s="90" t="str">
        <f>IF(AND('Mapa final'!$Y$34="Baja",'Mapa final'!$AA$34="Leve"),CONCATENATE("R5C",'Mapa final'!$O$34),"")</f>
        <v/>
      </c>
      <c r="K40" s="91" t="str">
        <f>IF(AND('Mapa final'!$Y$35="Baja",'Mapa final'!$AA$35="Leve"),CONCATENATE("R5C",'Mapa final'!$O$35),"")</f>
        <v/>
      </c>
      <c r="L40" s="91" t="str">
        <f>IF(AND('Mapa final'!$Y$36="Baja",'Mapa final'!$AA$36="Leve"),CONCATENATE("R5C",'Mapa final'!$O$36),"")</f>
        <v/>
      </c>
      <c r="M40" s="91" t="str">
        <f>IF(AND('Mapa final'!$Y$37="Baja",'Mapa final'!$AA$37="Leve"),CONCATENATE("R5C",'Mapa final'!$O$37),"")</f>
        <v/>
      </c>
      <c r="N40" s="91" t="str">
        <f>IF(AND('Mapa final'!$Y$38="Baja",'Mapa final'!$AA$38="Leve"),CONCATENATE("R5C",'Mapa final'!$O$38),"")</f>
        <v/>
      </c>
      <c r="O40" s="92" t="str">
        <f>IF(AND('Mapa final'!$Y$39="Baja",'Mapa final'!$AA$39="Leve"),CONCATENATE("R5C",'Mapa final'!$O$39),"")</f>
        <v/>
      </c>
      <c r="P40" s="81" t="str">
        <f>IF(AND('Mapa final'!$Y$34="Baja",'Mapa final'!$AA$34="Menor"),CONCATENATE("R5C",'Mapa final'!$O$34),"")</f>
        <v>R5C1</v>
      </c>
      <c r="Q40" s="82" t="str">
        <f>IF(AND('Mapa final'!$Y$35="Baja",'Mapa final'!$AA$35="Menor"),CONCATENATE("R5C",'Mapa final'!$O$35),"")</f>
        <v/>
      </c>
      <c r="R40" s="82" t="str">
        <f>IF(AND('Mapa final'!$Y$36="Baja",'Mapa final'!$AA$36="Menor"),CONCATENATE("R5C",'Mapa final'!$O$36),"")</f>
        <v/>
      </c>
      <c r="S40" s="82" t="str">
        <f>IF(AND('Mapa final'!$Y$37="Baja",'Mapa final'!$AA$37="Menor"),CONCATENATE("R5C",'Mapa final'!$O$37),"")</f>
        <v/>
      </c>
      <c r="T40" s="82" t="str">
        <f>IF(AND('Mapa final'!$Y$38="Baja",'Mapa final'!$AA$38="Menor"),CONCATENATE("R5C",'Mapa final'!$O$38),"")</f>
        <v/>
      </c>
      <c r="U40" s="83" t="str">
        <f>IF(AND('Mapa final'!$Y$39="Baja",'Mapa final'!$AA$39="Menor"),CONCATENATE("R5C",'Mapa final'!$O$39),"")</f>
        <v/>
      </c>
      <c r="V40" s="81" t="str">
        <f>IF(AND('Mapa final'!$Y$34="Baja",'Mapa final'!$AA$34="Moderado"),CONCATENATE("R5C",'Mapa final'!$O$34),"")</f>
        <v/>
      </c>
      <c r="W40" s="82" t="str">
        <f>IF(AND('Mapa final'!$Y$35="Baja",'Mapa final'!$AA$35="Moderado"),CONCATENATE("R5C",'Mapa final'!$O$35),"")</f>
        <v/>
      </c>
      <c r="X40" s="82" t="str">
        <f>IF(AND('Mapa final'!$Y$36="Baja",'Mapa final'!$AA$36="Moderado"),CONCATENATE("R5C",'Mapa final'!$O$36),"")</f>
        <v/>
      </c>
      <c r="Y40" s="82" t="str">
        <f>IF(AND('Mapa final'!$Y$37="Baja",'Mapa final'!$AA$37="Moderado"),CONCATENATE("R5C",'Mapa final'!$O$37),"")</f>
        <v/>
      </c>
      <c r="Z40" s="82" t="str">
        <f>IF(AND('Mapa final'!$Y$38="Baja",'Mapa final'!$AA$38="Moderado"),CONCATENATE("R5C",'Mapa final'!$O$38),"")</f>
        <v/>
      </c>
      <c r="AA40" s="83" t="str">
        <f>IF(AND('Mapa final'!$Y$39="Baja",'Mapa final'!$AA$39="Moderado"),CONCATENATE("R5C",'Mapa final'!$O$39),"")</f>
        <v/>
      </c>
      <c r="AB40" s="66" t="str">
        <f>IF(AND('Mapa final'!$Y$34="Baja",'Mapa final'!$AA$34="Mayor"),CONCATENATE("R5C",'Mapa final'!$O$34),"")</f>
        <v/>
      </c>
      <c r="AC40" s="67" t="str">
        <f>IF(AND('Mapa final'!$Y$35="Baja",'Mapa final'!$AA$35="Mayor"),CONCATENATE("R5C",'Mapa final'!$O$35),"")</f>
        <v/>
      </c>
      <c r="AD40" s="67" t="str">
        <f>IF(AND('Mapa final'!$Y$36="Baja",'Mapa final'!$AA$36="Mayor"),CONCATENATE("R5C",'Mapa final'!$O$36),"")</f>
        <v/>
      </c>
      <c r="AE40" s="67" t="str">
        <f>IF(AND('Mapa final'!$Y$37="Baja",'Mapa final'!$AA$37="Mayor"),CONCATENATE("R5C",'Mapa final'!$O$37),"")</f>
        <v/>
      </c>
      <c r="AF40" s="67" t="str">
        <f>IF(AND('Mapa final'!$Y$38="Baja",'Mapa final'!$AA$38="Mayor"),CONCATENATE("R5C",'Mapa final'!$O$38),"")</f>
        <v/>
      </c>
      <c r="AG40" s="68" t="str">
        <f>IF(AND('Mapa final'!$Y$39="Baja",'Mapa final'!$AA$39="Mayor"),CONCATENATE("R5C",'Mapa final'!$O$39),"")</f>
        <v/>
      </c>
      <c r="AH40" s="69" t="str">
        <f>IF(AND('Mapa final'!$Y$34="Baja",'Mapa final'!$AA$34="Catastrófico"),CONCATENATE("R5C",'Mapa final'!$O$34),"")</f>
        <v/>
      </c>
      <c r="AI40" s="70" t="str">
        <f>IF(AND('Mapa final'!$Y$35="Baja",'Mapa final'!$AA$35="Catastrófico"),CONCATENATE("R5C",'Mapa final'!$O$35),"")</f>
        <v/>
      </c>
      <c r="AJ40" s="70" t="str">
        <f>IF(AND('Mapa final'!$Y$36="Baja",'Mapa final'!$AA$36="Catastrófico"),CONCATENATE("R5C",'Mapa final'!$O$36),"")</f>
        <v/>
      </c>
      <c r="AK40" s="70" t="str">
        <f>IF(AND('Mapa final'!$Y$37="Baja",'Mapa final'!$AA$37="Catastrófico"),CONCATENATE("R5C",'Mapa final'!$O$37),"")</f>
        <v/>
      </c>
      <c r="AL40" s="70" t="str">
        <f>IF(AND('Mapa final'!$Y$38="Baja",'Mapa final'!$AA$38="Catastrófico"),CONCATENATE("R5C",'Mapa final'!$O$38),"")</f>
        <v/>
      </c>
      <c r="AM40" s="71" t="str">
        <f>IF(AND('Mapa final'!$Y$39="Baja",'Mapa final'!$AA$39="Catastrófico"),CONCATENATE("R5C",'Mapa final'!$O$39),"")</f>
        <v/>
      </c>
      <c r="AN40" s="97"/>
      <c r="AO40" s="365"/>
      <c r="AP40" s="366"/>
      <c r="AQ40" s="366"/>
      <c r="AR40" s="366"/>
      <c r="AS40" s="366"/>
      <c r="AT40" s="36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row>
    <row r="41" spans="1:80" ht="15" customHeight="1" x14ac:dyDescent="0.25">
      <c r="A41" s="97"/>
      <c r="B41" s="246"/>
      <c r="C41" s="246"/>
      <c r="D41" s="247"/>
      <c r="E41" s="345"/>
      <c r="F41" s="344"/>
      <c r="G41" s="344"/>
      <c r="H41" s="344"/>
      <c r="I41" s="344"/>
      <c r="J41" s="90" t="str">
        <f>IF(AND('Mapa final'!$Y$40="Baja",'Mapa final'!$AA$40="Leve"),CONCATENATE("R6C",'Mapa final'!$O$40),"")</f>
        <v/>
      </c>
      <c r="K41" s="91" t="str">
        <f>IF(AND('Mapa final'!$Y$41="Baja",'Mapa final'!$AA$41="Leve"),CONCATENATE("R6C",'Mapa final'!$O$41),"")</f>
        <v/>
      </c>
      <c r="L41" s="91" t="str">
        <f>IF(AND('Mapa final'!$Y$42="Baja",'Mapa final'!$AA$42="Leve"),CONCATENATE("R6C",'Mapa final'!$O$42),"")</f>
        <v/>
      </c>
      <c r="M41" s="91" t="str">
        <f>IF(AND('Mapa final'!$Y$43="Baja",'Mapa final'!$AA$43="Leve"),CONCATENATE("R6C",'Mapa final'!$O$43),"")</f>
        <v/>
      </c>
      <c r="N41" s="91" t="str">
        <f>IF(AND('Mapa final'!$Y$44="Baja",'Mapa final'!$AA$44="Leve"),CONCATENATE("R6C",'Mapa final'!$O$44),"")</f>
        <v/>
      </c>
      <c r="O41" s="92" t="str">
        <f>IF(AND('Mapa final'!$Y$45="Baja",'Mapa final'!$AA$45="Leve"),CONCATENATE("R6C",'Mapa final'!$O$45),"")</f>
        <v/>
      </c>
      <c r="P41" s="81" t="str">
        <f>IF(AND('Mapa final'!$Y$40="Baja",'Mapa final'!$AA$40="Menor"),CONCATENATE("R6C",'Mapa final'!$O$40),"")</f>
        <v/>
      </c>
      <c r="Q41" s="82" t="str">
        <f>IF(AND('Mapa final'!$Y$41="Baja",'Mapa final'!$AA$41="Menor"),CONCATENATE("R6C",'Mapa final'!$O$41),"")</f>
        <v/>
      </c>
      <c r="R41" s="82" t="str">
        <f>IF(AND('Mapa final'!$Y$42="Baja",'Mapa final'!$AA$42="Menor"),CONCATENATE("R6C",'Mapa final'!$O$42),"")</f>
        <v/>
      </c>
      <c r="S41" s="82" t="str">
        <f>IF(AND('Mapa final'!$Y$43="Baja",'Mapa final'!$AA$43="Menor"),CONCATENATE("R6C",'Mapa final'!$O$43),"")</f>
        <v/>
      </c>
      <c r="T41" s="82" t="str">
        <f>IF(AND('Mapa final'!$Y$44="Baja",'Mapa final'!$AA$44="Menor"),CONCATENATE("R6C",'Mapa final'!$O$44),"")</f>
        <v/>
      </c>
      <c r="U41" s="83" t="str">
        <f>IF(AND('Mapa final'!$Y$45="Baja",'Mapa final'!$AA$45="Menor"),CONCATENATE("R6C",'Mapa final'!$O$45),"")</f>
        <v/>
      </c>
      <c r="V41" s="81" t="str">
        <f>IF(AND('Mapa final'!$Y$40="Baja",'Mapa final'!$AA$40="Moderado"),CONCATENATE("R6C",'Mapa final'!$O$40),"")</f>
        <v/>
      </c>
      <c r="W41" s="82" t="str">
        <f>IF(AND('Mapa final'!$Y$41="Baja",'Mapa final'!$AA$41="Moderado"),CONCATENATE("R6C",'Mapa final'!$O$41),"")</f>
        <v/>
      </c>
      <c r="X41" s="82" t="str">
        <f>IF(AND('Mapa final'!$Y$42="Baja",'Mapa final'!$AA$42="Moderado"),CONCATENATE("R6C",'Mapa final'!$O$42),"")</f>
        <v/>
      </c>
      <c r="Y41" s="82" t="str">
        <f>IF(AND('Mapa final'!$Y$43="Baja",'Mapa final'!$AA$43="Moderado"),CONCATENATE("R6C",'Mapa final'!$O$43),"")</f>
        <v/>
      </c>
      <c r="Z41" s="82" t="str">
        <f>IF(AND('Mapa final'!$Y$44="Baja",'Mapa final'!$AA$44="Moderado"),CONCATENATE("R6C",'Mapa final'!$O$44),"")</f>
        <v/>
      </c>
      <c r="AA41" s="83" t="str">
        <f>IF(AND('Mapa final'!$Y$45="Baja",'Mapa final'!$AA$45="Moderado"),CONCATENATE("R6C",'Mapa final'!$O$45),"")</f>
        <v/>
      </c>
      <c r="AB41" s="66" t="str">
        <f>IF(AND('Mapa final'!$Y$40="Baja",'Mapa final'!$AA$40="Mayor"),CONCATENATE("R6C",'Mapa final'!$O$40),"")</f>
        <v/>
      </c>
      <c r="AC41" s="67" t="str">
        <f>IF(AND('Mapa final'!$Y$41="Baja",'Mapa final'!$AA$41="Mayor"),CONCATENATE("R6C",'Mapa final'!$O$41),"")</f>
        <v/>
      </c>
      <c r="AD41" s="67" t="str">
        <f>IF(AND('Mapa final'!$Y$42="Baja",'Mapa final'!$AA$42="Mayor"),CONCATENATE("R6C",'Mapa final'!$O$42),"")</f>
        <v/>
      </c>
      <c r="AE41" s="67" t="str">
        <f>IF(AND('Mapa final'!$Y$43="Baja",'Mapa final'!$AA$43="Mayor"),CONCATENATE("R6C",'Mapa final'!$O$43),"")</f>
        <v/>
      </c>
      <c r="AF41" s="67" t="str">
        <f>IF(AND('Mapa final'!$Y$44="Baja",'Mapa final'!$AA$44="Mayor"),CONCATENATE("R6C",'Mapa final'!$O$44),"")</f>
        <v/>
      </c>
      <c r="AG41" s="68" t="str">
        <f>IF(AND('Mapa final'!$Y$45="Baja",'Mapa final'!$AA$45="Mayor"),CONCATENATE("R6C",'Mapa final'!$O$45),"")</f>
        <v/>
      </c>
      <c r="AH41" s="69" t="str">
        <f>IF(AND('Mapa final'!$Y$40="Baja",'Mapa final'!$AA$40="Catastrófico"),CONCATENATE("R6C",'Mapa final'!$O$40),"")</f>
        <v/>
      </c>
      <c r="AI41" s="70" t="str">
        <f>IF(AND('Mapa final'!$Y$41="Baja",'Mapa final'!$AA$41="Catastrófico"),CONCATENATE("R6C",'Mapa final'!$O$41),"")</f>
        <v/>
      </c>
      <c r="AJ41" s="70" t="str">
        <f>IF(AND('Mapa final'!$Y$42="Baja",'Mapa final'!$AA$42="Catastrófico"),CONCATENATE("R6C",'Mapa final'!$O$42),"")</f>
        <v/>
      </c>
      <c r="AK41" s="70" t="str">
        <f>IF(AND('Mapa final'!$Y$43="Baja",'Mapa final'!$AA$43="Catastrófico"),CONCATENATE("R6C",'Mapa final'!$O$43),"")</f>
        <v/>
      </c>
      <c r="AL41" s="70" t="str">
        <f>IF(AND('Mapa final'!$Y$44="Baja",'Mapa final'!$AA$44="Catastrófico"),CONCATENATE("R6C",'Mapa final'!$O$44),"")</f>
        <v/>
      </c>
      <c r="AM41" s="71" t="str">
        <f>IF(AND('Mapa final'!$Y$45="Baja",'Mapa final'!$AA$45="Catastrófico"),CONCATENATE("R6C",'Mapa final'!$O$45),"")</f>
        <v/>
      </c>
      <c r="AN41" s="97"/>
      <c r="AO41" s="365"/>
      <c r="AP41" s="366"/>
      <c r="AQ41" s="366"/>
      <c r="AR41" s="366"/>
      <c r="AS41" s="366"/>
      <c r="AT41" s="36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row>
    <row r="42" spans="1:80" ht="15" customHeight="1" x14ac:dyDescent="0.25">
      <c r="A42" s="97"/>
      <c r="B42" s="246"/>
      <c r="C42" s="246"/>
      <c r="D42" s="247"/>
      <c r="E42" s="345"/>
      <c r="F42" s="344"/>
      <c r="G42" s="344"/>
      <c r="H42" s="344"/>
      <c r="I42" s="344"/>
      <c r="J42" s="90" t="str">
        <f>IF(AND('Mapa final'!$Y$46="Baja",'Mapa final'!$AA$46="Leve"),CONCATENATE("R7C",'Mapa final'!$O$46),"")</f>
        <v/>
      </c>
      <c r="K42" s="91" t="str">
        <f>IF(AND('Mapa final'!$Y$47="Baja",'Mapa final'!$AA$47="Leve"),CONCATENATE("R7C",'Mapa final'!$O$47),"")</f>
        <v/>
      </c>
      <c r="L42" s="91" t="str">
        <f>IF(AND('Mapa final'!$Y$48="Baja",'Mapa final'!$AA$48="Leve"),CONCATENATE("R7C",'Mapa final'!$O$48),"")</f>
        <v/>
      </c>
      <c r="M42" s="91" t="str">
        <f>IF(AND('Mapa final'!$Y$49="Baja",'Mapa final'!$AA$49="Leve"),CONCATENATE("R7C",'Mapa final'!$O$49),"")</f>
        <v/>
      </c>
      <c r="N42" s="91" t="str">
        <f>IF(AND('Mapa final'!$Y$50="Baja",'Mapa final'!$AA$50="Leve"),CONCATENATE("R7C",'Mapa final'!$O$50),"")</f>
        <v/>
      </c>
      <c r="O42" s="92" t="str">
        <f>IF(AND('Mapa final'!$Y$51="Baja",'Mapa final'!$AA$51="Leve"),CONCATENATE("R7C",'Mapa final'!$O$51),"")</f>
        <v/>
      </c>
      <c r="P42" s="81" t="str">
        <f>IF(AND('Mapa final'!$Y$46="Baja",'Mapa final'!$AA$46="Menor"),CONCATENATE("R7C",'Mapa final'!$O$46),"")</f>
        <v/>
      </c>
      <c r="Q42" s="82" t="str">
        <f>IF(AND('Mapa final'!$Y$47="Baja",'Mapa final'!$AA$47="Menor"),CONCATENATE("R7C",'Mapa final'!$O$47),"")</f>
        <v/>
      </c>
      <c r="R42" s="82" t="str">
        <f>IF(AND('Mapa final'!$Y$48="Baja",'Mapa final'!$AA$48="Menor"),CONCATENATE("R7C",'Mapa final'!$O$48),"")</f>
        <v/>
      </c>
      <c r="S42" s="82" t="str">
        <f>IF(AND('Mapa final'!$Y$49="Baja",'Mapa final'!$AA$49="Menor"),CONCATENATE("R7C",'Mapa final'!$O$49),"")</f>
        <v/>
      </c>
      <c r="T42" s="82" t="str">
        <f>IF(AND('Mapa final'!$Y$50="Baja",'Mapa final'!$AA$50="Menor"),CONCATENATE("R7C",'Mapa final'!$O$50),"")</f>
        <v/>
      </c>
      <c r="U42" s="83" t="str">
        <f>IF(AND('Mapa final'!$Y$51="Baja",'Mapa final'!$AA$51="Menor"),CONCATENATE("R7C",'Mapa final'!$O$51),"")</f>
        <v/>
      </c>
      <c r="V42" s="81" t="str">
        <f>IF(AND('Mapa final'!$Y$46="Baja",'Mapa final'!$AA$46="Moderado"),CONCATENATE("R7C",'Mapa final'!$O$46),"")</f>
        <v/>
      </c>
      <c r="W42" s="82" t="str">
        <f>IF(AND('Mapa final'!$Y$47="Baja",'Mapa final'!$AA$47="Moderado"),CONCATENATE("R7C",'Mapa final'!$O$47),"")</f>
        <v/>
      </c>
      <c r="X42" s="82" t="str">
        <f>IF(AND('Mapa final'!$Y$48="Baja",'Mapa final'!$AA$48="Moderado"),CONCATENATE("R7C",'Mapa final'!$O$48),"")</f>
        <v/>
      </c>
      <c r="Y42" s="82" t="str">
        <f>IF(AND('Mapa final'!$Y$49="Baja",'Mapa final'!$AA$49="Moderado"),CONCATENATE("R7C",'Mapa final'!$O$49),"")</f>
        <v/>
      </c>
      <c r="Z42" s="82" t="str">
        <f>IF(AND('Mapa final'!$Y$50="Baja",'Mapa final'!$AA$50="Moderado"),CONCATENATE("R7C",'Mapa final'!$O$50),"")</f>
        <v/>
      </c>
      <c r="AA42" s="83" t="str">
        <f>IF(AND('Mapa final'!$Y$51="Baja",'Mapa final'!$AA$51="Moderado"),CONCATENATE("R7C",'Mapa final'!$O$51),"")</f>
        <v/>
      </c>
      <c r="AB42" s="66" t="str">
        <f>IF(AND('Mapa final'!$Y$46="Baja",'Mapa final'!$AA$46="Mayor"),CONCATENATE("R7C",'Mapa final'!$O$46),"")</f>
        <v/>
      </c>
      <c r="AC42" s="67" t="str">
        <f>IF(AND('Mapa final'!$Y$47="Baja",'Mapa final'!$AA$47="Mayor"),CONCATENATE("R7C",'Mapa final'!$O$47),"")</f>
        <v/>
      </c>
      <c r="AD42" s="67" t="str">
        <f>IF(AND('Mapa final'!$Y$48="Baja",'Mapa final'!$AA$48="Mayor"),CONCATENATE("R7C",'Mapa final'!$O$48),"")</f>
        <v/>
      </c>
      <c r="AE42" s="67" t="str">
        <f>IF(AND('Mapa final'!$Y$49="Baja",'Mapa final'!$AA$49="Mayor"),CONCATENATE("R7C",'Mapa final'!$O$49),"")</f>
        <v/>
      </c>
      <c r="AF42" s="67" t="str">
        <f>IF(AND('Mapa final'!$Y$50="Baja",'Mapa final'!$AA$50="Mayor"),CONCATENATE("R7C",'Mapa final'!$O$50),"")</f>
        <v/>
      </c>
      <c r="AG42" s="68" t="str">
        <f>IF(AND('Mapa final'!$Y$51="Baja",'Mapa final'!$AA$51="Mayor"),CONCATENATE("R7C",'Mapa final'!$O$51),"")</f>
        <v/>
      </c>
      <c r="AH42" s="69" t="str">
        <f>IF(AND('Mapa final'!$Y$46="Baja",'Mapa final'!$AA$46="Catastrófico"),CONCATENATE("R7C",'Mapa final'!$O$46),"")</f>
        <v/>
      </c>
      <c r="AI42" s="70" t="str">
        <f>IF(AND('Mapa final'!$Y$47="Baja",'Mapa final'!$AA$47="Catastrófico"),CONCATENATE("R7C",'Mapa final'!$O$47),"")</f>
        <v/>
      </c>
      <c r="AJ42" s="70" t="str">
        <f>IF(AND('Mapa final'!$Y$48="Baja",'Mapa final'!$AA$48="Catastrófico"),CONCATENATE("R7C",'Mapa final'!$O$48),"")</f>
        <v/>
      </c>
      <c r="AK42" s="70" t="str">
        <f>IF(AND('Mapa final'!$Y$49="Baja",'Mapa final'!$AA$49="Catastrófico"),CONCATENATE("R7C",'Mapa final'!$O$49),"")</f>
        <v/>
      </c>
      <c r="AL42" s="70" t="str">
        <f>IF(AND('Mapa final'!$Y$50="Baja",'Mapa final'!$AA$50="Catastrófico"),CONCATENATE("R7C",'Mapa final'!$O$50),"")</f>
        <v/>
      </c>
      <c r="AM42" s="71" t="str">
        <f>IF(AND('Mapa final'!$Y$51="Baja",'Mapa final'!$AA$51="Catastrófico"),CONCATENATE("R7C",'Mapa final'!$O$51),"")</f>
        <v/>
      </c>
      <c r="AN42" s="97"/>
      <c r="AO42" s="365"/>
      <c r="AP42" s="366"/>
      <c r="AQ42" s="366"/>
      <c r="AR42" s="366"/>
      <c r="AS42" s="366"/>
      <c r="AT42" s="36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row>
    <row r="43" spans="1:80" ht="15" customHeight="1" x14ac:dyDescent="0.25">
      <c r="A43" s="97"/>
      <c r="B43" s="246"/>
      <c r="C43" s="246"/>
      <c r="D43" s="247"/>
      <c r="E43" s="345"/>
      <c r="F43" s="344"/>
      <c r="G43" s="344"/>
      <c r="H43" s="344"/>
      <c r="I43" s="344"/>
      <c r="J43" s="90" t="str">
        <f>IF(AND('Mapa final'!$Y$52="Baja",'Mapa final'!$AA$52="Leve"),CONCATENATE("R8C",'Mapa final'!$O$52),"")</f>
        <v/>
      </c>
      <c r="K43" s="91" t="str">
        <f>IF(AND('Mapa final'!$Y$53="Baja",'Mapa final'!$AA$53="Leve"),CONCATENATE("R8C",'Mapa final'!$O$53),"")</f>
        <v/>
      </c>
      <c r="L43" s="91" t="str">
        <f>IF(AND('Mapa final'!$Y$54="Baja",'Mapa final'!$AA$54="Leve"),CONCATENATE("R8C",'Mapa final'!$O$54),"")</f>
        <v/>
      </c>
      <c r="M43" s="91" t="str">
        <f>IF(AND('Mapa final'!$Y$55="Baja",'Mapa final'!$AA$55="Leve"),CONCATENATE("R8C",'Mapa final'!$O$55),"")</f>
        <v/>
      </c>
      <c r="N43" s="91" t="str">
        <f>IF(AND('Mapa final'!$Y$56="Baja",'Mapa final'!$AA$56="Leve"),CONCATENATE("R8C",'Mapa final'!$O$56),"")</f>
        <v/>
      </c>
      <c r="O43" s="92" t="str">
        <f>IF(AND('Mapa final'!$Y$57="Baja",'Mapa final'!$AA$57="Leve"),CONCATENATE("R8C",'Mapa final'!$O$57),"")</f>
        <v/>
      </c>
      <c r="P43" s="81" t="str">
        <f>IF(AND('Mapa final'!$Y$52="Baja",'Mapa final'!$AA$52="Menor"),CONCATENATE("R8C",'Mapa final'!$O$52),"")</f>
        <v/>
      </c>
      <c r="Q43" s="82" t="str">
        <f>IF(AND('Mapa final'!$Y$53="Baja",'Mapa final'!$AA$53="Menor"),CONCATENATE("R8C",'Mapa final'!$O$53),"")</f>
        <v/>
      </c>
      <c r="R43" s="82" t="str">
        <f>IF(AND('Mapa final'!$Y$54="Baja",'Mapa final'!$AA$54="Menor"),CONCATENATE("R8C",'Mapa final'!$O$54),"")</f>
        <v/>
      </c>
      <c r="S43" s="82" t="str">
        <f>IF(AND('Mapa final'!$Y$55="Baja",'Mapa final'!$AA$55="Menor"),CONCATENATE("R8C",'Mapa final'!$O$55),"")</f>
        <v/>
      </c>
      <c r="T43" s="82" t="str">
        <f>IF(AND('Mapa final'!$Y$56="Baja",'Mapa final'!$AA$56="Menor"),CONCATENATE("R8C",'Mapa final'!$O$56),"")</f>
        <v/>
      </c>
      <c r="U43" s="83" t="str">
        <f>IF(AND('Mapa final'!$Y$57="Baja",'Mapa final'!$AA$57="Menor"),CONCATENATE("R8C",'Mapa final'!$O$57),"")</f>
        <v/>
      </c>
      <c r="V43" s="81" t="str">
        <f>IF(AND('Mapa final'!$Y$52="Baja",'Mapa final'!$AA$52="Moderado"),CONCATENATE("R8C",'Mapa final'!$O$52),"")</f>
        <v/>
      </c>
      <c r="W43" s="82" t="str">
        <f>IF(AND('Mapa final'!$Y$53="Baja",'Mapa final'!$AA$53="Moderado"),CONCATENATE("R8C",'Mapa final'!$O$53),"")</f>
        <v/>
      </c>
      <c r="X43" s="82" t="str">
        <f>IF(AND('Mapa final'!$Y$54="Baja",'Mapa final'!$AA$54="Moderado"),CONCATENATE("R8C",'Mapa final'!$O$54),"")</f>
        <v/>
      </c>
      <c r="Y43" s="82" t="str">
        <f>IF(AND('Mapa final'!$Y$55="Baja",'Mapa final'!$AA$55="Moderado"),CONCATENATE("R8C",'Mapa final'!$O$55),"")</f>
        <v/>
      </c>
      <c r="Z43" s="82" t="str">
        <f>IF(AND('Mapa final'!$Y$56="Baja",'Mapa final'!$AA$56="Moderado"),CONCATENATE("R8C",'Mapa final'!$O$56),"")</f>
        <v/>
      </c>
      <c r="AA43" s="83" t="str">
        <f>IF(AND('Mapa final'!$Y$57="Baja",'Mapa final'!$AA$57="Moderado"),CONCATENATE("R8C",'Mapa final'!$O$57),"")</f>
        <v/>
      </c>
      <c r="AB43" s="66" t="str">
        <f>IF(AND('Mapa final'!$Y$52="Baja",'Mapa final'!$AA$52="Mayor"),CONCATENATE("R8C",'Mapa final'!$O$52),"")</f>
        <v/>
      </c>
      <c r="AC43" s="67" t="str">
        <f>IF(AND('Mapa final'!$Y$53="Baja",'Mapa final'!$AA$53="Mayor"),CONCATENATE("R8C",'Mapa final'!$O$53),"")</f>
        <v/>
      </c>
      <c r="AD43" s="67" t="str">
        <f>IF(AND('Mapa final'!$Y$54="Baja",'Mapa final'!$AA$54="Mayor"),CONCATENATE("R8C",'Mapa final'!$O$54),"")</f>
        <v/>
      </c>
      <c r="AE43" s="67" t="str">
        <f>IF(AND('Mapa final'!$Y$55="Baja",'Mapa final'!$AA$55="Mayor"),CONCATENATE("R8C",'Mapa final'!$O$55),"")</f>
        <v/>
      </c>
      <c r="AF43" s="67" t="str">
        <f>IF(AND('Mapa final'!$Y$56="Baja",'Mapa final'!$AA$56="Mayor"),CONCATENATE("R8C",'Mapa final'!$O$56),"")</f>
        <v/>
      </c>
      <c r="AG43" s="68" t="str">
        <f>IF(AND('Mapa final'!$Y$57="Baja",'Mapa final'!$AA$57="Mayor"),CONCATENATE("R8C",'Mapa final'!$O$57),"")</f>
        <v/>
      </c>
      <c r="AH43" s="69" t="str">
        <f>IF(AND('Mapa final'!$Y$52="Baja",'Mapa final'!$AA$52="Catastrófico"),CONCATENATE("R8C",'Mapa final'!$O$52),"")</f>
        <v/>
      </c>
      <c r="AI43" s="70" t="str">
        <f>IF(AND('Mapa final'!$Y$53="Baja",'Mapa final'!$AA$53="Catastrófico"),CONCATENATE("R8C",'Mapa final'!$O$53),"")</f>
        <v/>
      </c>
      <c r="AJ43" s="70" t="str">
        <f>IF(AND('Mapa final'!$Y$54="Baja",'Mapa final'!$AA$54="Catastrófico"),CONCATENATE("R8C",'Mapa final'!$O$54),"")</f>
        <v/>
      </c>
      <c r="AK43" s="70" t="str">
        <f>IF(AND('Mapa final'!$Y$55="Baja",'Mapa final'!$AA$55="Catastrófico"),CONCATENATE("R8C",'Mapa final'!$O$55),"")</f>
        <v/>
      </c>
      <c r="AL43" s="70" t="str">
        <f>IF(AND('Mapa final'!$Y$56="Baja",'Mapa final'!$AA$56="Catastrófico"),CONCATENATE("R8C",'Mapa final'!$O$56),"")</f>
        <v/>
      </c>
      <c r="AM43" s="71" t="str">
        <f>IF(AND('Mapa final'!$Y$57="Baja",'Mapa final'!$AA$57="Catastrófico"),CONCATENATE("R8C",'Mapa final'!$O$57),"")</f>
        <v/>
      </c>
      <c r="AN43" s="97"/>
      <c r="AO43" s="365"/>
      <c r="AP43" s="366"/>
      <c r="AQ43" s="366"/>
      <c r="AR43" s="366"/>
      <c r="AS43" s="366"/>
      <c r="AT43" s="36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row>
    <row r="44" spans="1:80" ht="15" customHeight="1" x14ac:dyDescent="0.25">
      <c r="A44" s="97"/>
      <c r="B44" s="246"/>
      <c r="C44" s="246"/>
      <c r="D44" s="247"/>
      <c r="E44" s="345"/>
      <c r="F44" s="344"/>
      <c r="G44" s="344"/>
      <c r="H44" s="344"/>
      <c r="I44" s="344"/>
      <c r="J44" s="90" t="str">
        <f>IF(AND('Mapa final'!$Y$58="Baja",'Mapa final'!$AA$58="Leve"),CONCATENATE("R9C",'Mapa final'!$O$58),"")</f>
        <v/>
      </c>
      <c r="K44" s="91" t="str">
        <f>IF(AND('Mapa final'!$Y$59="Baja",'Mapa final'!$AA$59="Leve"),CONCATENATE("R9C",'Mapa final'!$O$59),"")</f>
        <v/>
      </c>
      <c r="L44" s="91" t="str">
        <f>IF(AND('Mapa final'!$Y$60="Baja",'Mapa final'!$AA$60="Leve"),CONCATENATE("R9C",'Mapa final'!$O$60),"")</f>
        <v/>
      </c>
      <c r="M44" s="91" t="str">
        <f>IF(AND('Mapa final'!$Y$61="Baja",'Mapa final'!$AA$61="Leve"),CONCATENATE("R9C",'Mapa final'!$O$61),"")</f>
        <v/>
      </c>
      <c r="N44" s="91" t="str">
        <f>IF(AND('Mapa final'!$Y$62="Baja",'Mapa final'!$AA$62="Leve"),CONCATENATE("R9C",'Mapa final'!$O$62),"")</f>
        <v/>
      </c>
      <c r="O44" s="92" t="str">
        <f>IF(AND('Mapa final'!$Y$63="Baja",'Mapa final'!$AA$63="Leve"),CONCATENATE("R9C",'Mapa final'!$O$63),"")</f>
        <v/>
      </c>
      <c r="P44" s="81" t="str">
        <f>IF(AND('Mapa final'!$Y$58="Baja",'Mapa final'!$AA$58="Menor"),CONCATENATE("R9C",'Mapa final'!$O$58),"")</f>
        <v/>
      </c>
      <c r="Q44" s="82" t="str">
        <f>IF(AND('Mapa final'!$Y$59="Baja",'Mapa final'!$AA$59="Menor"),CONCATENATE("R9C",'Mapa final'!$O$59),"")</f>
        <v/>
      </c>
      <c r="R44" s="82" t="str">
        <f>IF(AND('Mapa final'!$Y$60="Baja",'Mapa final'!$AA$60="Menor"),CONCATENATE("R9C",'Mapa final'!$O$60),"")</f>
        <v/>
      </c>
      <c r="S44" s="82" t="str">
        <f>IF(AND('Mapa final'!$Y$61="Baja",'Mapa final'!$AA$61="Menor"),CONCATENATE("R9C",'Mapa final'!$O$61),"")</f>
        <v/>
      </c>
      <c r="T44" s="82" t="str">
        <f>IF(AND('Mapa final'!$Y$62="Baja",'Mapa final'!$AA$62="Menor"),CONCATENATE("R9C",'Mapa final'!$O$62),"")</f>
        <v/>
      </c>
      <c r="U44" s="83" t="str">
        <f>IF(AND('Mapa final'!$Y$63="Baja",'Mapa final'!$AA$63="Menor"),CONCATENATE("R9C",'Mapa final'!$O$63),"")</f>
        <v/>
      </c>
      <c r="V44" s="81" t="str">
        <f>IF(AND('Mapa final'!$Y$58="Baja",'Mapa final'!$AA$58="Moderado"),CONCATENATE("R9C",'Mapa final'!$O$58),"")</f>
        <v/>
      </c>
      <c r="W44" s="82" t="str">
        <f>IF(AND('Mapa final'!$Y$59="Baja",'Mapa final'!$AA$59="Moderado"),CONCATENATE("R9C",'Mapa final'!$O$59),"")</f>
        <v/>
      </c>
      <c r="X44" s="82" t="str">
        <f>IF(AND('Mapa final'!$Y$60="Baja",'Mapa final'!$AA$60="Moderado"),CONCATENATE("R9C",'Mapa final'!$O$60),"")</f>
        <v/>
      </c>
      <c r="Y44" s="82" t="str">
        <f>IF(AND('Mapa final'!$Y$61="Baja",'Mapa final'!$AA$61="Moderado"),CONCATENATE("R9C",'Mapa final'!$O$61),"")</f>
        <v/>
      </c>
      <c r="Z44" s="82" t="str">
        <f>IF(AND('Mapa final'!$Y$62="Baja",'Mapa final'!$AA$62="Moderado"),CONCATENATE("R9C",'Mapa final'!$O$62),"")</f>
        <v/>
      </c>
      <c r="AA44" s="83" t="str">
        <f>IF(AND('Mapa final'!$Y$63="Baja",'Mapa final'!$AA$63="Moderado"),CONCATENATE("R9C",'Mapa final'!$O$63),"")</f>
        <v/>
      </c>
      <c r="AB44" s="66" t="str">
        <f>IF(AND('Mapa final'!$Y$58="Baja",'Mapa final'!$AA$58="Mayor"),CONCATENATE("R9C",'Mapa final'!$O$58),"")</f>
        <v/>
      </c>
      <c r="AC44" s="67" t="str">
        <f>IF(AND('Mapa final'!$Y$59="Baja",'Mapa final'!$AA$59="Mayor"),CONCATENATE("R9C",'Mapa final'!$O$59),"")</f>
        <v/>
      </c>
      <c r="AD44" s="67" t="str">
        <f>IF(AND('Mapa final'!$Y$60="Baja",'Mapa final'!$AA$60="Mayor"),CONCATENATE("R9C",'Mapa final'!$O$60),"")</f>
        <v/>
      </c>
      <c r="AE44" s="67" t="str">
        <f>IF(AND('Mapa final'!$Y$61="Baja",'Mapa final'!$AA$61="Mayor"),CONCATENATE("R9C",'Mapa final'!$O$61),"")</f>
        <v/>
      </c>
      <c r="AF44" s="67" t="str">
        <f>IF(AND('Mapa final'!$Y$62="Baja",'Mapa final'!$AA$62="Mayor"),CONCATENATE("R9C",'Mapa final'!$O$62),"")</f>
        <v/>
      </c>
      <c r="AG44" s="68" t="str">
        <f>IF(AND('Mapa final'!$Y$63="Baja",'Mapa final'!$AA$63="Mayor"),CONCATENATE("R9C",'Mapa final'!$O$63),"")</f>
        <v/>
      </c>
      <c r="AH44" s="69" t="str">
        <f>IF(AND('Mapa final'!$Y$58="Baja",'Mapa final'!$AA$58="Catastrófico"),CONCATENATE("R9C",'Mapa final'!$O$58),"")</f>
        <v/>
      </c>
      <c r="AI44" s="70" t="str">
        <f>IF(AND('Mapa final'!$Y$59="Baja",'Mapa final'!$AA$59="Catastrófico"),CONCATENATE("R9C",'Mapa final'!$O$59),"")</f>
        <v/>
      </c>
      <c r="AJ44" s="70" t="str">
        <f>IF(AND('Mapa final'!$Y$60="Baja",'Mapa final'!$AA$60="Catastrófico"),CONCATENATE("R9C",'Mapa final'!$O$60),"")</f>
        <v/>
      </c>
      <c r="AK44" s="70" t="str">
        <f>IF(AND('Mapa final'!$Y$61="Baja",'Mapa final'!$AA$61="Catastrófico"),CONCATENATE("R9C",'Mapa final'!$O$61),"")</f>
        <v/>
      </c>
      <c r="AL44" s="70" t="str">
        <f>IF(AND('Mapa final'!$Y$62="Baja",'Mapa final'!$AA$62="Catastrófico"),CONCATENATE("R9C",'Mapa final'!$O$62),"")</f>
        <v/>
      </c>
      <c r="AM44" s="71" t="str">
        <f>IF(AND('Mapa final'!$Y$63="Baja",'Mapa final'!$AA$63="Catastrófico"),CONCATENATE("R9C",'Mapa final'!$O$63),"")</f>
        <v/>
      </c>
      <c r="AN44" s="97"/>
      <c r="AO44" s="365"/>
      <c r="AP44" s="366"/>
      <c r="AQ44" s="366"/>
      <c r="AR44" s="366"/>
      <c r="AS44" s="366"/>
      <c r="AT44" s="36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row>
    <row r="45" spans="1:80" ht="15.75" customHeight="1" thickBot="1" x14ac:dyDescent="0.3">
      <c r="A45" s="97"/>
      <c r="B45" s="246"/>
      <c r="C45" s="246"/>
      <c r="D45" s="247"/>
      <c r="E45" s="346"/>
      <c r="F45" s="347"/>
      <c r="G45" s="347"/>
      <c r="H45" s="347"/>
      <c r="I45" s="347"/>
      <c r="J45" s="93" t="str">
        <f>IF(AND('Mapa final'!$Y$64="Baja",'Mapa final'!$AA$64="Leve"),CONCATENATE("R10C",'Mapa final'!$O$64),"")</f>
        <v/>
      </c>
      <c r="K45" s="94" t="str">
        <f>IF(AND('Mapa final'!$Y$65="Baja",'Mapa final'!$AA$65="Leve"),CONCATENATE("R10C",'Mapa final'!$O$65),"")</f>
        <v/>
      </c>
      <c r="L45" s="94" t="str">
        <f>IF(AND('Mapa final'!$Y$66="Baja",'Mapa final'!$AA$66="Leve"),CONCATENATE("R10C",'Mapa final'!$O$66),"")</f>
        <v/>
      </c>
      <c r="M45" s="94" t="str">
        <f>IF(AND('Mapa final'!$Y$67="Baja",'Mapa final'!$AA$67="Leve"),CONCATENATE("R10C",'Mapa final'!$O$67),"")</f>
        <v/>
      </c>
      <c r="N45" s="94" t="str">
        <f>IF(AND('Mapa final'!$Y$68="Baja",'Mapa final'!$AA$68="Leve"),CONCATENATE("R10C",'Mapa final'!$O$68),"")</f>
        <v/>
      </c>
      <c r="O45" s="95" t="str">
        <f>IF(AND('Mapa final'!$Y$69="Baja",'Mapa final'!$AA$69="Leve"),CONCATENATE("R10C",'Mapa final'!$O$69),"")</f>
        <v/>
      </c>
      <c r="P45" s="81" t="str">
        <f>IF(AND('Mapa final'!$Y$64="Baja",'Mapa final'!$AA$64="Menor"),CONCATENATE("R10C",'Mapa final'!$O$64),"")</f>
        <v/>
      </c>
      <c r="Q45" s="82" t="str">
        <f>IF(AND('Mapa final'!$Y$65="Baja",'Mapa final'!$AA$65="Menor"),CONCATENATE("R10C",'Mapa final'!$O$65),"")</f>
        <v/>
      </c>
      <c r="R45" s="82" t="str">
        <f>IF(AND('Mapa final'!$Y$66="Baja",'Mapa final'!$AA$66="Menor"),CONCATENATE("R10C",'Mapa final'!$O$66),"")</f>
        <v/>
      </c>
      <c r="S45" s="82" t="str">
        <f>IF(AND('Mapa final'!$Y$67="Baja",'Mapa final'!$AA$67="Menor"),CONCATENATE("R10C",'Mapa final'!$O$67),"")</f>
        <v/>
      </c>
      <c r="T45" s="82" t="str">
        <f>IF(AND('Mapa final'!$Y$68="Baja",'Mapa final'!$AA$68="Menor"),CONCATENATE("R10C",'Mapa final'!$O$68),"")</f>
        <v/>
      </c>
      <c r="U45" s="83" t="str">
        <f>IF(AND('Mapa final'!$Y$69="Baja",'Mapa final'!$AA$69="Menor"),CONCATENATE("R10C",'Mapa final'!$O$69),"")</f>
        <v/>
      </c>
      <c r="V45" s="84" t="str">
        <f>IF(AND('Mapa final'!$Y$64="Baja",'Mapa final'!$AA$64="Moderado"),CONCATENATE("R10C",'Mapa final'!$O$64),"")</f>
        <v/>
      </c>
      <c r="W45" s="85" t="str">
        <f>IF(AND('Mapa final'!$Y$65="Baja",'Mapa final'!$AA$65="Moderado"),CONCATENATE("R10C",'Mapa final'!$O$65),"")</f>
        <v/>
      </c>
      <c r="X45" s="85" t="str">
        <f>IF(AND('Mapa final'!$Y$66="Baja",'Mapa final'!$AA$66="Moderado"),CONCATENATE("R10C",'Mapa final'!$O$66),"")</f>
        <v/>
      </c>
      <c r="Y45" s="85" t="str">
        <f>IF(AND('Mapa final'!$Y$67="Baja",'Mapa final'!$AA$67="Moderado"),CONCATENATE("R10C",'Mapa final'!$O$67),"")</f>
        <v/>
      </c>
      <c r="Z45" s="85" t="str">
        <f>IF(AND('Mapa final'!$Y$68="Baja",'Mapa final'!$AA$68="Moderado"),CONCATENATE("R10C",'Mapa final'!$O$68),"")</f>
        <v/>
      </c>
      <c r="AA45" s="86" t="str">
        <f>IF(AND('Mapa final'!$Y$69="Baja",'Mapa final'!$AA$69="Moderado"),CONCATENATE("R10C",'Mapa final'!$O$69),"")</f>
        <v/>
      </c>
      <c r="AB45" s="72" t="str">
        <f>IF(AND('Mapa final'!$Y$64="Baja",'Mapa final'!$AA$64="Mayor"),CONCATENATE("R10C",'Mapa final'!$O$64),"")</f>
        <v/>
      </c>
      <c r="AC45" s="73" t="str">
        <f>IF(AND('Mapa final'!$Y$65="Baja",'Mapa final'!$AA$65="Mayor"),CONCATENATE("R10C",'Mapa final'!$O$65),"")</f>
        <v/>
      </c>
      <c r="AD45" s="73" t="str">
        <f>IF(AND('Mapa final'!$Y$66="Baja",'Mapa final'!$AA$66="Mayor"),CONCATENATE("R10C",'Mapa final'!$O$66),"")</f>
        <v/>
      </c>
      <c r="AE45" s="73" t="str">
        <f>IF(AND('Mapa final'!$Y$67="Baja",'Mapa final'!$AA$67="Mayor"),CONCATENATE("R10C",'Mapa final'!$O$67),"")</f>
        <v/>
      </c>
      <c r="AF45" s="73" t="str">
        <f>IF(AND('Mapa final'!$Y$68="Baja",'Mapa final'!$AA$68="Mayor"),CONCATENATE("R10C",'Mapa final'!$O$68),"")</f>
        <v/>
      </c>
      <c r="AG45" s="74" t="str">
        <f>IF(AND('Mapa final'!$Y$69="Baja",'Mapa final'!$AA$69="Mayor"),CONCATENATE("R10C",'Mapa final'!$O$69),"")</f>
        <v/>
      </c>
      <c r="AH45" s="75" t="str">
        <f>IF(AND('Mapa final'!$Y$64="Baja",'Mapa final'!$AA$64="Catastrófico"),CONCATENATE("R10C",'Mapa final'!$O$64),"")</f>
        <v/>
      </c>
      <c r="AI45" s="76" t="str">
        <f>IF(AND('Mapa final'!$Y$65="Baja",'Mapa final'!$AA$65="Catastrófico"),CONCATENATE("R10C",'Mapa final'!$O$65),"")</f>
        <v/>
      </c>
      <c r="AJ45" s="76" t="str">
        <f>IF(AND('Mapa final'!$Y$66="Baja",'Mapa final'!$AA$66="Catastrófico"),CONCATENATE("R10C",'Mapa final'!$O$66),"")</f>
        <v/>
      </c>
      <c r="AK45" s="76" t="str">
        <f>IF(AND('Mapa final'!$Y$67="Baja",'Mapa final'!$AA$67="Catastrófico"),CONCATENATE("R10C",'Mapa final'!$O$67),"")</f>
        <v/>
      </c>
      <c r="AL45" s="76" t="str">
        <f>IF(AND('Mapa final'!$Y$68="Baja",'Mapa final'!$AA$68="Catastrófico"),CONCATENATE("R10C",'Mapa final'!$O$68),"")</f>
        <v/>
      </c>
      <c r="AM45" s="77" t="str">
        <f>IF(AND('Mapa final'!$Y$69="Baja",'Mapa final'!$AA$69="Catastrófico"),CONCATENATE("R10C",'Mapa final'!$O$69),"")</f>
        <v/>
      </c>
      <c r="AN45" s="97"/>
      <c r="AO45" s="368"/>
      <c r="AP45" s="369"/>
      <c r="AQ45" s="369"/>
      <c r="AR45" s="369"/>
      <c r="AS45" s="369"/>
      <c r="AT45" s="370"/>
    </row>
    <row r="46" spans="1:80" ht="46.5" customHeight="1" x14ac:dyDescent="0.35">
      <c r="A46" s="97"/>
      <c r="B46" s="246"/>
      <c r="C46" s="246"/>
      <c r="D46" s="247"/>
      <c r="E46" s="341" t="s">
        <v>113</v>
      </c>
      <c r="F46" s="342"/>
      <c r="G46" s="342"/>
      <c r="H46" s="342"/>
      <c r="I46" s="359"/>
      <c r="J46" s="87" t="str">
        <f>IF(AND('Mapa final'!$Y$10="Muy Baja",'Mapa final'!$AA$10="Leve"),CONCATENATE("R1C",'Mapa final'!$O$10),"")</f>
        <v/>
      </c>
      <c r="K46" s="88" t="str">
        <f>IF(AND('Mapa final'!$Y$11="Muy Baja",'Mapa final'!$AA$11="Leve"),CONCATENATE("R1C",'Mapa final'!$O$11),"")</f>
        <v/>
      </c>
      <c r="L46" s="88" t="str">
        <f>IF(AND('Mapa final'!$Y$12="Muy Baja",'Mapa final'!$AA$12="Leve"),CONCATENATE("R1C",'Mapa final'!$O$12),"")</f>
        <v/>
      </c>
      <c r="M46" s="88" t="str">
        <f>IF(AND('Mapa final'!$Y$13="Muy Baja",'Mapa final'!$AA$13="Leve"),CONCATENATE("R1C",'Mapa final'!$O$13),"")</f>
        <v/>
      </c>
      <c r="N46" s="88" t="str">
        <f>IF(AND('Mapa final'!$Y$14="Muy Baja",'Mapa final'!$AA$14="Leve"),CONCATENATE("R1C",'Mapa final'!$O$14),"")</f>
        <v/>
      </c>
      <c r="O46" s="89" t="str">
        <f>IF(AND('Mapa final'!$Y$15="Muy Baja",'Mapa final'!$AA$15="Leve"),CONCATENATE("R1C",'Mapa final'!$O$15),"")</f>
        <v/>
      </c>
      <c r="P46" s="87" t="str">
        <f>IF(AND('Mapa final'!$Y$10="Muy Baja",'Mapa final'!$AA$10="Menor"),CONCATENATE("R1C",'Mapa final'!$O$10),"")</f>
        <v/>
      </c>
      <c r="Q46" s="88" t="str">
        <f>IF(AND('Mapa final'!$Y$11="Muy Baja",'Mapa final'!$AA$11="Menor"),CONCATENATE("R1C",'Mapa final'!$O$11),"")</f>
        <v>R1C2</v>
      </c>
      <c r="R46" s="88" t="str">
        <f>IF(AND('Mapa final'!$Y$12="Muy Baja",'Mapa final'!$AA$12="Menor"),CONCATENATE("R1C",'Mapa final'!$O$12),"")</f>
        <v>R1C3</v>
      </c>
      <c r="S46" s="88" t="str">
        <f>IF(AND('Mapa final'!$Y$13="Muy Baja",'Mapa final'!$AA$13="Menor"),CONCATENATE("R1C",'Mapa final'!$O$13),"")</f>
        <v>R1C4</v>
      </c>
      <c r="T46" s="88" t="str">
        <f>IF(AND('Mapa final'!$Y$14="Muy Baja",'Mapa final'!$AA$14="Menor"),CONCATENATE("R1C",'Mapa final'!$O$14),"")</f>
        <v>R1C5</v>
      </c>
      <c r="U46" s="89" t="str">
        <f>IF(AND('Mapa final'!$Y$15="Muy Baja",'Mapa final'!$AA$15="Menor"),CONCATENATE("R1C",'Mapa final'!$O$15),"")</f>
        <v/>
      </c>
      <c r="V46" s="78" t="str">
        <f>IF(AND('Mapa final'!$Y$10="Muy Baja",'Mapa final'!$AA$10="Moderado"),CONCATENATE("R1C",'Mapa final'!$O$10),"")</f>
        <v/>
      </c>
      <c r="W46" s="96" t="str">
        <f>IF(AND('Mapa final'!$Y$11="Muy Baja",'Mapa final'!$AA$11="Moderado"),CONCATENATE("R1C",'Mapa final'!$O$11),"")</f>
        <v/>
      </c>
      <c r="X46" s="79" t="str">
        <f>IF(AND('Mapa final'!$Y$12="Muy Baja",'Mapa final'!$AA$12="Moderado"),CONCATENATE("R1C",'Mapa final'!$O$12),"")</f>
        <v/>
      </c>
      <c r="Y46" s="79" t="str">
        <f>IF(AND('Mapa final'!$Y$13="Muy Baja",'Mapa final'!$AA$13="Moderado"),CONCATENATE("R1C",'Mapa final'!$O$13),"")</f>
        <v/>
      </c>
      <c r="Z46" s="79" t="str">
        <f>IF(AND('Mapa final'!$Y$14="Muy Baja",'Mapa final'!$AA$14="Moderado"),CONCATENATE("R1C",'Mapa final'!$O$14),"")</f>
        <v/>
      </c>
      <c r="AA46" s="80" t="str">
        <f>IF(AND('Mapa final'!$Y$15="Muy Baja",'Mapa final'!$AA$15="Moderado"),CONCATENATE("R1C",'Mapa final'!$O$15),"")</f>
        <v/>
      </c>
      <c r="AB46" s="60" t="str">
        <f>IF(AND('Mapa final'!$Y$10="Muy Baja",'Mapa final'!$AA$10="Mayor"),CONCATENATE("R1C",'Mapa final'!$O$10),"")</f>
        <v/>
      </c>
      <c r="AC46" s="61" t="str">
        <f>IF(AND('Mapa final'!$Y$11="Muy Baja",'Mapa final'!$AA$11="Mayor"),CONCATENATE("R1C",'Mapa final'!$O$11),"")</f>
        <v/>
      </c>
      <c r="AD46" s="61" t="str">
        <f>IF(AND('Mapa final'!$Y$12="Muy Baja",'Mapa final'!$AA$12="Mayor"),CONCATENATE("R1C",'Mapa final'!$O$12),"")</f>
        <v/>
      </c>
      <c r="AE46" s="61" t="str">
        <f>IF(AND('Mapa final'!$Y$13="Muy Baja",'Mapa final'!$AA$13="Mayor"),CONCATENATE("R1C",'Mapa final'!$O$13),"")</f>
        <v/>
      </c>
      <c r="AF46" s="61" t="str">
        <f>IF(AND('Mapa final'!$Y$14="Muy Baja",'Mapa final'!$AA$14="Mayor"),CONCATENATE("R1C",'Mapa final'!$O$14),"")</f>
        <v/>
      </c>
      <c r="AG46" s="62" t="str">
        <f>IF(AND('Mapa final'!$Y$15="Muy Baja",'Mapa final'!$AA$15="Mayor"),CONCATENATE("R1C",'Mapa final'!$O$15),"")</f>
        <v/>
      </c>
      <c r="AH46" s="63" t="str">
        <f>IF(AND('Mapa final'!$Y$10="Muy Baja",'Mapa final'!$AA$10="Catastrófico"),CONCATENATE("R1C",'Mapa final'!$O$10),"")</f>
        <v/>
      </c>
      <c r="AI46" s="64" t="str">
        <f>IF(AND('Mapa final'!$Y$11="Muy Baja",'Mapa final'!$AA$11="Catastrófico"),CONCATENATE("R1C",'Mapa final'!$O$11),"")</f>
        <v/>
      </c>
      <c r="AJ46" s="64" t="str">
        <f>IF(AND('Mapa final'!$Y$12="Muy Baja",'Mapa final'!$AA$12="Catastrófico"),CONCATENATE("R1C",'Mapa final'!$O$12),"")</f>
        <v/>
      </c>
      <c r="AK46" s="64" t="str">
        <f>IF(AND('Mapa final'!$Y$13="Muy Baja",'Mapa final'!$AA$13="Catastrófico"),CONCATENATE("R1C",'Mapa final'!$O$13),"")</f>
        <v/>
      </c>
      <c r="AL46" s="64" t="str">
        <f>IF(AND('Mapa final'!$Y$14="Muy Baja",'Mapa final'!$AA$14="Catastrófico"),CONCATENATE("R1C",'Mapa final'!$O$14),"")</f>
        <v/>
      </c>
      <c r="AM46" s="65" t="str">
        <f>IF(AND('Mapa final'!$Y$15="Muy Baja",'Mapa final'!$AA$15="Catastrófico"),CONCATENATE("R1C",'Mapa final'!$O$15),"")</f>
        <v/>
      </c>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row>
    <row r="47" spans="1:80" ht="46.5" customHeight="1" x14ac:dyDescent="0.25">
      <c r="A47" s="97"/>
      <c r="B47" s="246"/>
      <c r="C47" s="246"/>
      <c r="D47" s="247"/>
      <c r="E47" s="343"/>
      <c r="F47" s="344"/>
      <c r="G47" s="344"/>
      <c r="H47" s="344"/>
      <c r="I47" s="360"/>
      <c r="J47" s="90" t="str">
        <f>IF(AND('Mapa final'!$Y$16="Muy Baja",'Mapa final'!$AA$16="Leve"),CONCATENATE("R2C",'Mapa final'!$O$16),"")</f>
        <v/>
      </c>
      <c r="K47" s="91" t="str">
        <f>IF(AND('Mapa final'!$Y$17="Muy Baja",'Mapa final'!$AA$17="Leve"),CONCATENATE("R2C",'Mapa final'!$O$17),"")</f>
        <v/>
      </c>
      <c r="L47" s="91" t="str">
        <f>IF(AND('Mapa final'!$Y$18="Muy Baja",'Mapa final'!$AA$18="Leve"),CONCATENATE("R2C",'Mapa final'!$O$18),"")</f>
        <v/>
      </c>
      <c r="M47" s="91" t="str">
        <f>IF(AND('Mapa final'!$Y$19="Muy Baja",'Mapa final'!$AA$19="Leve"),CONCATENATE("R2C",'Mapa final'!$O$19),"")</f>
        <v/>
      </c>
      <c r="N47" s="91" t="str">
        <f>IF(AND('Mapa final'!$Y$20="Muy Baja",'Mapa final'!$AA$20="Leve"),CONCATENATE("R2C",'Mapa final'!$O$20),"")</f>
        <v/>
      </c>
      <c r="O47" s="92" t="str">
        <f>IF(AND('Mapa final'!$Y$21="Muy Baja",'Mapa final'!$AA$21="Leve"),CONCATENATE("R2C",'Mapa final'!$O$21),"")</f>
        <v/>
      </c>
      <c r="P47" s="90" t="str">
        <f>IF(AND('Mapa final'!$Y$16="Muy Baja",'Mapa final'!$AA$16="Menor"),CONCATENATE("R2C",'Mapa final'!$O$16),"")</f>
        <v/>
      </c>
      <c r="Q47" s="91" t="str">
        <f>IF(AND('Mapa final'!$Y$17="Muy Baja",'Mapa final'!$AA$17="Menor"),CONCATENATE("R2C",'Mapa final'!$O$17),"")</f>
        <v>R2C2</v>
      </c>
      <c r="R47" s="91" t="str">
        <f>IF(AND('Mapa final'!$Y$18="Muy Baja",'Mapa final'!$AA$18="Menor"),CONCATENATE("R2C",'Mapa final'!$O$18),"")</f>
        <v>R2C3</v>
      </c>
      <c r="S47" s="91" t="str">
        <f>IF(AND('Mapa final'!$Y$19="Muy Baja",'Mapa final'!$AA$19="Menor"),CONCATENATE("R2C",'Mapa final'!$O$19),"")</f>
        <v>R2C4</v>
      </c>
      <c r="T47" s="91" t="str">
        <f>IF(AND('Mapa final'!$Y$20="Muy Baja",'Mapa final'!$AA$20="Menor"),CONCATENATE("R2C",'Mapa final'!$O$20),"")</f>
        <v>R2C5</v>
      </c>
      <c r="U47" s="92" t="str">
        <f>IF(AND('Mapa final'!$Y$21="Muy Baja",'Mapa final'!$AA$21="Menor"),CONCATENATE("R2C",'Mapa final'!$O$21),"")</f>
        <v/>
      </c>
      <c r="V47" s="81" t="str">
        <f>IF(AND('Mapa final'!$Y$16="Muy Baja",'Mapa final'!$AA$16="Moderado"),CONCATENATE("R2C",'Mapa final'!$O$16),"")</f>
        <v/>
      </c>
      <c r="W47" s="82" t="str">
        <f>IF(AND('Mapa final'!$Y$17="Muy Baja",'Mapa final'!$AA$17="Moderado"),CONCATENATE("R2C",'Mapa final'!$O$17),"")</f>
        <v/>
      </c>
      <c r="X47" s="82" t="str">
        <f>IF(AND('Mapa final'!$Y$18="Muy Baja",'Mapa final'!$AA$18="Moderado"),CONCATENATE("R2C",'Mapa final'!$O$18),"")</f>
        <v/>
      </c>
      <c r="Y47" s="82" t="str">
        <f>IF(AND('Mapa final'!$Y$19="Muy Baja",'Mapa final'!$AA$19="Moderado"),CONCATENATE("R2C",'Mapa final'!$O$19),"")</f>
        <v/>
      </c>
      <c r="Z47" s="82" t="str">
        <f>IF(AND('Mapa final'!$Y$20="Muy Baja",'Mapa final'!$AA$20="Moderado"),CONCATENATE("R2C",'Mapa final'!$O$20),"")</f>
        <v/>
      </c>
      <c r="AA47" s="83" t="str">
        <f>IF(AND('Mapa final'!$Y$21="Muy Baja",'Mapa final'!$AA$21="Moderado"),CONCATENATE("R2C",'Mapa final'!$O$21),"")</f>
        <v/>
      </c>
      <c r="AB47" s="66" t="str">
        <f>IF(AND('Mapa final'!$Y$16="Muy Baja",'Mapa final'!$AA$16="Mayor"),CONCATENATE("R2C",'Mapa final'!$O$16),"")</f>
        <v/>
      </c>
      <c r="AC47" s="67" t="str">
        <f>IF(AND('Mapa final'!$Y$17="Muy Baja",'Mapa final'!$AA$17="Mayor"),CONCATENATE("R2C",'Mapa final'!$O$17),"")</f>
        <v/>
      </c>
      <c r="AD47" s="67" t="str">
        <f>IF(AND('Mapa final'!$Y$18="Muy Baja",'Mapa final'!$AA$18="Mayor"),CONCATENATE("R2C",'Mapa final'!$O$18),"")</f>
        <v/>
      </c>
      <c r="AE47" s="67" t="str">
        <f>IF(AND('Mapa final'!$Y$19="Muy Baja",'Mapa final'!$AA$19="Mayor"),CONCATENATE("R2C",'Mapa final'!$O$19),"")</f>
        <v/>
      </c>
      <c r="AF47" s="67" t="str">
        <f>IF(AND('Mapa final'!$Y$20="Muy Baja",'Mapa final'!$AA$20="Mayor"),CONCATENATE("R2C",'Mapa final'!$O$20),"")</f>
        <v/>
      </c>
      <c r="AG47" s="68" t="str">
        <f>IF(AND('Mapa final'!$Y$21="Muy Baja",'Mapa final'!$AA$21="Mayor"),CONCATENATE("R2C",'Mapa final'!$O$21),"")</f>
        <v/>
      </c>
      <c r="AH47" s="69" t="str">
        <f>IF(AND('Mapa final'!$Y$16="Muy Baja",'Mapa final'!$AA$16="Catastrófico"),CONCATENATE("R2C",'Mapa final'!$O$16),"")</f>
        <v/>
      </c>
      <c r="AI47" s="70" t="str">
        <f>IF(AND('Mapa final'!$Y$17="Muy Baja",'Mapa final'!$AA$17="Catastrófico"),CONCATENATE("R2C",'Mapa final'!$O$17),"")</f>
        <v/>
      </c>
      <c r="AJ47" s="70" t="str">
        <f>IF(AND('Mapa final'!$Y$18="Muy Baja",'Mapa final'!$AA$18="Catastrófico"),CONCATENATE("R2C",'Mapa final'!$O$18),"")</f>
        <v/>
      </c>
      <c r="AK47" s="70" t="str">
        <f>IF(AND('Mapa final'!$Y$19="Muy Baja",'Mapa final'!$AA$19="Catastrófico"),CONCATENATE("R2C",'Mapa final'!$O$19),"")</f>
        <v/>
      </c>
      <c r="AL47" s="70" t="str">
        <f>IF(AND('Mapa final'!$Y$20="Muy Baja",'Mapa final'!$AA$20="Catastrófico"),CONCATENATE("R2C",'Mapa final'!$O$20),"")</f>
        <v/>
      </c>
      <c r="AM47" s="71" t="str">
        <f>IF(AND('Mapa final'!$Y$21="Muy Baja",'Mapa final'!$AA$21="Catastrófico"),CONCATENATE("R2C",'Mapa final'!$O$21),"")</f>
        <v/>
      </c>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row>
    <row r="48" spans="1:80" ht="15" customHeight="1" x14ac:dyDescent="0.25">
      <c r="A48" s="97"/>
      <c r="B48" s="246"/>
      <c r="C48" s="246"/>
      <c r="D48" s="247"/>
      <c r="E48" s="343"/>
      <c r="F48" s="344"/>
      <c r="G48" s="344"/>
      <c r="H48" s="344"/>
      <c r="I48" s="360"/>
      <c r="J48" s="90" t="str">
        <f>IF(AND('Mapa final'!$Y$22="Muy Baja",'Mapa final'!$AA$22="Leve"),CONCATENATE("R3C",'Mapa final'!$O$22),"")</f>
        <v/>
      </c>
      <c r="K48" s="91" t="str">
        <f>IF(AND('Mapa final'!$Y$23="Muy Baja",'Mapa final'!$AA$23="Leve"),CONCATENATE("R3C",'Mapa final'!$O$23),"")</f>
        <v/>
      </c>
      <c r="L48" s="91" t="str">
        <f>IF(AND('Mapa final'!$Y$24="Muy Baja",'Mapa final'!$AA$24="Leve"),CONCATENATE("R3C",'Mapa final'!$O$24),"")</f>
        <v/>
      </c>
      <c r="M48" s="91" t="str">
        <f>IF(AND('Mapa final'!$Y$25="Muy Baja",'Mapa final'!$AA$25="Leve"),CONCATENATE("R3C",'Mapa final'!$O$25),"")</f>
        <v/>
      </c>
      <c r="N48" s="91" t="str">
        <f>IF(AND('Mapa final'!$Y$26="Muy Baja",'Mapa final'!$AA$26="Leve"),CONCATENATE("R3C",'Mapa final'!$O$26),"")</f>
        <v/>
      </c>
      <c r="O48" s="92" t="str">
        <f>IF(AND('Mapa final'!$Y$27="Muy Baja",'Mapa final'!$AA$27="Leve"),CONCATENATE("R3C",'Mapa final'!$O$27),"")</f>
        <v/>
      </c>
      <c r="P48" s="90" t="str">
        <f>IF(AND('Mapa final'!$Y$22="Muy Baja",'Mapa final'!$AA$22="Menor"),CONCATENATE("R3C",'Mapa final'!$O$22),"")</f>
        <v/>
      </c>
      <c r="Q48" s="91" t="str">
        <f>IF(AND('Mapa final'!$Y$23="Muy Baja",'Mapa final'!$AA$23="Menor"),CONCATENATE("R3C",'Mapa final'!$O$23),"")</f>
        <v/>
      </c>
      <c r="R48" s="91" t="str">
        <f>IF(AND('Mapa final'!$Y$24="Muy Baja",'Mapa final'!$AA$24="Menor"),CONCATENATE("R3C",'Mapa final'!$O$24),"")</f>
        <v/>
      </c>
      <c r="S48" s="91" t="str">
        <f>IF(AND('Mapa final'!$Y$25="Muy Baja",'Mapa final'!$AA$25="Menor"),CONCATENATE("R3C",'Mapa final'!$O$25),"")</f>
        <v/>
      </c>
      <c r="T48" s="91" t="str">
        <f>IF(AND('Mapa final'!$Y$26="Muy Baja",'Mapa final'!$AA$26="Menor"),CONCATENATE("R3C",'Mapa final'!$O$26),"")</f>
        <v/>
      </c>
      <c r="U48" s="92" t="str">
        <f>IF(AND('Mapa final'!$Y$27="Muy Baja",'Mapa final'!$AA$27="Menor"),CONCATENATE("R3C",'Mapa final'!$O$27),"")</f>
        <v/>
      </c>
      <c r="V48" s="81" t="str">
        <f>IF(AND('Mapa final'!$Y$22="Muy Baja",'Mapa final'!$AA$22="Moderado"),CONCATENATE("R3C",'Mapa final'!$O$22),"")</f>
        <v/>
      </c>
      <c r="W48" s="82" t="str">
        <f>IF(AND('Mapa final'!$Y$23="Muy Baja",'Mapa final'!$AA$23="Moderado"),CONCATENATE("R3C",'Mapa final'!$O$23),"")</f>
        <v>R3C2</v>
      </c>
      <c r="X48" s="82" t="str">
        <f>IF(AND('Mapa final'!$Y$24="Muy Baja",'Mapa final'!$AA$24="Moderado"),CONCATENATE("R3C",'Mapa final'!$O$24),"")</f>
        <v>R3C3</v>
      </c>
      <c r="Y48" s="82" t="str">
        <f>IF(AND('Mapa final'!$Y$25="Muy Baja",'Mapa final'!$AA$25="Moderado"),CONCATENATE("R3C",'Mapa final'!$O$25),"")</f>
        <v>R3C4</v>
      </c>
      <c r="Z48" s="82" t="str">
        <f>IF(AND('Mapa final'!$Y$26="Muy Baja",'Mapa final'!$AA$26="Moderado"),CONCATENATE("R3C",'Mapa final'!$O$26),"")</f>
        <v>R3C5</v>
      </c>
      <c r="AA48" s="83" t="str">
        <f>IF(AND('Mapa final'!$Y$27="Muy Baja",'Mapa final'!$AA$27="Moderado"),CONCATENATE("R3C",'Mapa final'!$O$27),"")</f>
        <v/>
      </c>
      <c r="AB48" s="66" t="str">
        <f>IF(AND('Mapa final'!$Y$22="Muy Baja",'Mapa final'!$AA$22="Mayor"),CONCATENATE("R3C",'Mapa final'!$O$22),"")</f>
        <v/>
      </c>
      <c r="AC48" s="67" t="str">
        <f>IF(AND('Mapa final'!$Y$23="Muy Baja",'Mapa final'!$AA$23="Mayor"),CONCATENATE("R3C",'Mapa final'!$O$23),"")</f>
        <v/>
      </c>
      <c r="AD48" s="67" t="str">
        <f>IF(AND('Mapa final'!$Y$24="Muy Baja",'Mapa final'!$AA$24="Mayor"),CONCATENATE("R3C",'Mapa final'!$O$24),"")</f>
        <v/>
      </c>
      <c r="AE48" s="67" t="str">
        <f>IF(AND('Mapa final'!$Y$25="Muy Baja",'Mapa final'!$AA$25="Mayor"),CONCATENATE("R3C",'Mapa final'!$O$25),"")</f>
        <v/>
      </c>
      <c r="AF48" s="67" t="str">
        <f>IF(AND('Mapa final'!$Y$26="Muy Baja",'Mapa final'!$AA$26="Mayor"),CONCATENATE("R3C",'Mapa final'!$O$26),"")</f>
        <v/>
      </c>
      <c r="AG48" s="68" t="str">
        <f>IF(AND('Mapa final'!$Y$27="Muy Baja",'Mapa final'!$AA$27="Mayor"),CONCATENATE("R3C",'Mapa final'!$O$27),"")</f>
        <v/>
      </c>
      <c r="AH48" s="69" t="str">
        <f>IF(AND('Mapa final'!$Y$22="Muy Baja",'Mapa final'!$AA$22="Catastrófico"),CONCATENATE("R3C",'Mapa final'!$O$22),"")</f>
        <v/>
      </c>
      <c r="AI48" s="70" t="str">
        <f>IF(AND('Mapa final'!$Y$23="Muy Baja",'Mapa final'!$AA$23="Catastrófico"),CONCATENATE("R3C",'Mapa final'!$O$23),"")</f>
        <v/>
      </c>
      <c r="AJ48" s="70" t="str">
        <f>IF(AND('Mapa final'!$Y$24="Muy Baja",'Mapa final'!$AA$24="Catastrófico"),CONCATENATE("R3C",'Mapa final'!$O$24),"")</f>
        <v/>
      </c>
      <c r="AK48" s="70" t="str">
        <f>IF(AND('Mapa final'!$Y$25="Muy Baja",'Mapa final'!$AA$25="Catastrófico"),CONCATENATE("R3C",'Mapa final'!$O$25),"")</f>
        <v/>
      </c>
      <c r="AL48" s="70" t="str">
        <f>IF(AND('Mapa final'!$Y$26="Muy Baja",'Mapa final'!$AA$26="Catastrófico"),CONCATENATE("R3C",'Mapa final'!$O$26),"")</f>
        <v/>
      </c>
      <c r="AM48" s="71" t="str">
        <f>IF(AND('Mapa final'!$Y$27="Muy Baja",'Mapa final'!$AA$27="Catastrófico"),CONCATENATE("R3C",'Mapa final'!$O$27),"")</f>
        <v/>
      </c>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row>
    <row r="49" spans="1:80" ht="15" customHeight="1" x14ac:dyDescent="0.25">
      <c r="A49" s="97"/>
      <c r="B49" s="246"/>
      <c r="C49" s="246"/>
      <c r="D49" s="247"/>
      <c r="E49" s="345"/>
      <c r="F49" s="344"/>
      <c r="G49" s="344"/>
      <c r="H49" s="344"/>
      <c r="I49" s="360"/>
      <c r="J49" s="90" t="str">
        <f>IF(AND('Mapa final'!$Y$28="Muy Baja",'Mapa final'!$AA$28="Leve"),CONCATENATE("R4C",'Mapa final'!$O$28),"")</f>
        <v/>
      </c>
      <c r="K49" s="91" t="str">
        <f>IF(AND('Mapa final'!$Y$29="Muy Baja",'Mapa final'!$AA$29="Leve"),CONCATENATE("R4C",'Mapa final'!$O$29),"")</f>
        <v>R4C2</v>
      </c>
      <c r="L49" s="91" t="str">
        <f>IF(AND('Mapa final'!$Y$30="Muy Baja",'Mapa final'!$AA$30="Leve"),CONCATENATE("R4C",'Mapa final'!$O$30),"")</f>
        <v>R4C3</v>
      </c>
      <c r="M49" s="91" t="str">
        <f>IF(AND('Mapa final'!$Y$31="Muy Baja",'Mapa final'!$AA$31="Leve"),CONCATENATE("R4C",'Mapa final'!$O$31),"")</f>
        <v>R4C4</v>
      </c>
      <c r="N49" s="91" t="str">
        <f>IF(AND('Mapa final'!$Y$32="Muy Baja",'Mapa final'!$AA$32="Leve"),CONCATENATE("R4C",'Mapa final'!$O$32),"")</f>
        <v>R4C5</v>
      </c>
      <c r="O49" s="92" t="str">
        <f>IF(AND('Mapa final'!$Y$33="Muy Baja",'Mapa final'!$AA$33="Leve"),CONCATENATE("R4C",'Mapa final'!$O$33),"")</f>
        <v/>
      </c>
      <c r="P49" s="90" t="str">
        <f>IF(AND('Mapa final'!$Y$28="Muy Baja",'Mapa final'!$AA$28="Menor"),CONCATENATE("R4C",'Mapa final'!$O$28),"")</f>
        <v/>
      </c>
      <c r="Q49" s="91" t="str">
        <f>IF(AND('Mapa final'!$Y$29="Muy Baja",'Mapa final'!$AA$29="Menor"),CONCATENATE("R4C",'Mapa final'!$O$29),"")</f>
        <v/>
      </c>
      <c r="R49" s="91" t="str">
        <f>IF(AND('Mapa final'!$Y$30="Muy Baja",'Mapa final'!$AA$30="Menor"),CONCATENATE("R4C",'Mapa final'!$O$30),"")</f>
        <v/>
      </c>
      <c r="S49" s="91" t="str">
        <f>IF(AND('Mapa final'!$Y$31="Muy Baja",'Mapa final'!$AA$31="Menor"),CONCATENATE("R4C",'Mapa final'!$O$31),"")</f>
        <v/>
      </c>
      <c r="T49" s="91" t="str">
        <f>IF(AND('Mapa final'!$Y$32="Muy Baja",'Mapa final'!$AA$32="Menor"),CONCATENATE("R4C",'Mapa final'!$O$32),"")</f>
        <v/>
      </c>
      <c r="U49" s="92" t="str">
        <f>IF(AND('Mapa final'!$Y$33="Muy Baja",'Mapa final'!$AA$33="Menor"),CONCATENATE("R4C",'Mapa final'!$O$33),"")</f>
        <v/>
      </c>
      <c r="V49" s="81" t="str">
        <f>IF(AND('Mapa final'!$Y$28="Muy Baja",'Mapa final'!$AA$28="Moderado"),CONCATENATE("R4C",'Mapa final'!$O$28),"")</f>
        <v/>
      </c>
      <c r="W49" s="82" t="str">
        <f>IF(AND('Mapa final'!$Y$29="Muy Baja",'Mapa final'!$AA$29="Moderado"),CONCATENATE("R4C",'Mapa final'!$O$29),"")</f>
        <v/>
      </c>
      <c r="X49" s="82" t="str">
        <f>IF(AND('Mapa final'!$Y$30="Muy Baja",'Mapa final'!$AA$30="Moderado"),CONCATENATE("R4C",'Mapa final'!$O$30),"")</f>
        <v/>
      </c>
      <c r="Y49" s="82" t="str">
        <f>IF(AND('Mapa final'!$Y$31="Muy Baja",'Mapa final'!$AA$31="Moderado"),CONCATENATE("R4C",'Mapa final'!$O$31),"")</f>
        <v/>
      </c>
      <c r="Z49" s="82" t="str">
        <f>IF(AND('Mapa final'!$Y$32="Muy Baja",'Mapa final'!$AA$32="Moderado"),CONCATENATE("R4C",'Mapa final'!$O$32),"")</f>
        <v/>
      </c>
      <c r="AA49" s="83" t="str">
        <f>IF(AND('Mapa final'!$Y$33="Muy Baja",'Mapa final'!$AA$33="Moderado"),CONCATENATE("R4C",'Mapa final'!$O$33),"")</f>
        <v/>
      </c>
      <c r="AB49" s="66" t="str">
        <f>IF(AND('Mapa final'!$Y$28="Muy Baja",'Mapa final'!$AA$28="Mayor"),CONCATENATE("R4C",'Mapa final'!$O$28),"")</f>
        <v/>
      </c>
      <c r="AC49" s="67" t="str">
        <f>IF(AND('Mapa final'!$Y$29="Muy Baja",'Mapa final'!$AA$29="Mayor"),CONCATENATE("R4C",'Mapa final'!$O$29),"")</f>
        <v/>
      </c>
      <c r="AD49" s="67" t="str">
        <f>IF(AND('Mapa final'!$Y$30="Muy Baja",'Mapa final'!$AA$30="Mayor"),CONCATENATE("R4C",'Mapa final'!$O$30),"")</f>
        <v/>
      </c>
      <c r="AE49" s="67" t="str">
        <f>IF(AND('Mapa final'!$Y$31="Muy Baja",'Mapa final'!$AA$31="Mayor"),CONCATENATE("R4C",'Mapa final'!$O$31),"")</f>
        <v/>
      </c>
      <c r="AF49" s="67" t="str">
        <f>IF(AND('Mapa final'!$Y$32="Muy Baja",'Mapa final'!$AA$32="Mayor"),CONCATENATE("R4C",'Mapa final'!$O$32),"")</f>
        <v/>
      </c>
      <c r="AG49" s="68" t="str">
        <f>IF(AND('Mapa final'!$Y$33="Muy Baja",'Mapa final'!$AA$33="Mayor"),CONCATENATE("R4C",'Mapa final'!$O$33),"")</f>
        <v/>
      </c>
      <c r="AH49" s="69" t="str">
        <f>IF(AND('Mapa final'!$Y$28="Muy Baja",'Mapa final'!$AA$28="Catastrófico"),CONCATENATE("R4C",'Mapa final'!$O$28),"")</f>
        <v/>
      </c>
      <c r="AI49" s="70" t="str">
        <f>IF(AND('Mapa final'!$Y$29="Muy Baja",'Mapa final'!$AA$29="Catastrófico"),CONCATENATE("R4C",'Mapa final'!$O$29),"")</f>
        <v/>
      </c>
      <c r="AJ49" s="70" t="str">
        <f>IF(AND('Mapa final'!$Y$30="Muy Baja",'Mapa final'!$AA$30="Catastrófico"),CONCATENATE("R4C",'Mapa final'!$O$30),"")</f>
        <v/>
      </c>
      <c r="AK49" s="70" t="str">
        <f>IF(AND('Mapa final'!$Y$31="Muy Baja",'Mapa final'!$AA$31="Catastrófico"),CONCATENATE("R4C",'Mapa final'!$O$31),"")</f>
        <v/>
      </c>
      <c r="AL49" s="70" t="str">
        <f>IF(AND('Mapa final'!$Y$32="Muy Baja",'Mapa final'!$AA$32="Catastrófico"),CONCATENATE("R4C",'Mapa final'!$O$32),"")</f>
        <v/>
      </c>
      <c r="AM49" s="71" t="str">
        <f>IF(AND('Mapa final'!$Y$33="Muy Baja",'Mapa final'!$AA$33="Catastrófico"),CONCATENATE("R4C",'Mapa final'!$O$33),"")</f>
        <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row>
    <row r="50" spans="1:80" ht="15" customHeight="1" x14ac:dyDescent="0.25">
      <c r="A50" s="97"/>
      <c r="B50" s="246"/>
      <c r="C50" s="246"/>
      <c r="D50" s="247"/>
      <c r="E50" s="345"/>
      <c r="F50" s="344"/>
      <c r="G50" s="344"/>
      <c r="H50" s="344"/>
      <c r="I50" s="360"/>
      <c r="J50" s="90" t="str">
        <f>IF(AND('Mapa final'!$Y$34="Muy Baja",'Mapa final'!$AA$34="Leve"),CONCATENATE("R5C",'Mapa final'!$O$34),"")</f>
        <v/>
      </c>
      <c r="K50" s="91" t="str">
        <f>IF(AND('Mapa final'!$Y$35="Muy Baja",'Mapa final'!$AA$35="Leve"),CONCATENATE("R5C",'Mapa final'!$O$35),"")</f>
        <v/>
      </c>
      <c r="L50" s="91" t="str">
        <f>IF(AND('Mapa final'!$Y$36="Muy Baja",'Mapa final'!$AA$36="Leve"),CONCATENATE("R5C",'Mapa final'!$O$36),"")</f>
        <v/>
      </c>
      <c r="M50" s="91" t="str">
        <f>IF(AND('Mapa final'!$Y$37="Muy Baja",'Mapa final'!$AA$37="Leve"),CONCATENATE("R5C",'Mapa final'!$O$37),"")</f>
        <v/>
      </c>
      <c r="N50" s="91" t="str">
        <f>IF(AND('Mapa final'!$Y$38="Muy Baja",'Mapa final'!$AA$38="Leve"),CONCATENATE("R5C",'Mapa final'!$O$38),"")</f>
        <v/>
      </c>
      <c r="O50" s="92" t="str">
        <f>IF(AND('Mapa final'!$Y$39="Muy Baja",'Mapa final'!$AA$39="Leve"),CONCATENATE("R5C",'Mapa final'!$O$39),"")</f>
        <v/>
      </c>
      <c r="P50" s="90" t="str">
        <f>IF(AND('Mapa final'!$Y$34="Muy Baja",'Mapa final'!$AA$34="Menor"),CONCATENATE("R5C",'Mapa final'!$O$34),"")</f>
        <v/>
      </c>
      <c r="Q50" s="91" t="str">
        <f>IF(AND('Mapa final'!$Y$35="Muy Baja",'Mapa final'!$AA$35="Menor"),CONCATENATE("R5C",'Mapa final'!$O$35),"")</f>
        <v>R5C2</v>
      </c>
      <c r="R50" s="91" t="str">
        <f>IF(AND('Mapa final'!$Y$36="Muy Baja",'Mapa final'!$AA$36="Menor"),CONCATENATE("R5C",'Mapa final'!$O$36),"")</f>
        <v>R5C3</v>
      </c>
      <c r="S50" s="91" t="str">
        <f>IF(AND('Mapa final'!$Y$37="Muy Baja",'Mapa final'!$AA$37="Menor"),CONCATENATE("R5C",'Mapa final'!$O$37),"")</f>
        <v/>
      </c>
      <c r="T50" s="91" t="str">
        <f>IF(AND('Mapa final'!$Y$38="Muy Baja",'Mapa final'!$AA$38="Menor"),CONCATENATE("R5C",'Mapa final'!$O$38),"")</f>
        <v/>
      </c>
      <c r="U50" s="92" t="str">
        <f>IF(AND('Mapa final'!$Y$39="Muy Baja",'Mapa final'!$AA$39="Menor"),CONCATENATE("R5C",'Mapa final'!$O$39),"")</f>
        <v/>
      </c>
      <c r="V50" s="81" t="str">
        <f>IF(AND('Mapa final'!$Y$34="Muy Baja",'Mapa final'!$AA$34="Moderado"),CONCATENATE("R5C",'Mapa final'!$O$34),"")</f>
        <v/>
      </c>
      <c r="W50" s="82" t="str">
        <f>IF(AND('Mapa final'!$Y$35="Muy Baja",'Mapa final'!$AA$35="Moderado"),CONCATENATE("R5C",'Mapa final'!$O$35),"")</f>
        <v/>
      </c>
      <c r="X50" s="82" t="str">
        <f>IF(AND('Mapa final'!$Y$36="Muy Baja",'Mapa final'!$AA$36="Moderado"),CONCATENATE("R5C",'Mapa final'!$O$36),"")</f>
        <v/>
      </c>
      <c r="Y50" s="82" t="str">
        <f>IF(AND('Mapa final'!$Y$37="Muy Baja",'Mapa final'!$AA$37="Moderado"),CONCATENATE("R5C",'Mapa final'!$O$37),"")</f>
        <v/>
      </c>
      <c r="Z50" s="82" t="str">
        <f>IF(AND('Mapa final'!$Y$38="Muy Baja",'Mapa final'!$AA$38="Moderado"),CONCATENATE("R5C",'Mapa final'!$O$38),"")</f>
        <v/>
      </c>
      <c r="AA50" s="83" t="str">
        <f>IF(AND('Mapa final'!$Y$39="Muy Baja",'Mapa final'!$AA$39="Moderado"),CONCATENATE("R5C",'Mapa final'!$O$39),"")</f>
        <v/>
      </c>
      <c r="AB50" s="66" t="str">
        <f>IF(AND('Mapa final'!$Y$34="Muy Baja",'Mapa final'!$AA$34="Mayor"),CONCATENATE("R5C",'Mapa final'!$O$34),"")</f>
        <v/>
      </c>
      <c r="AC50" s="67" t="str">
        <f>IF(AND('Mapa final'!$Y$35="Muy Baja",'Mapa final'!$AA$35="Mayor"),CONCATENATE("R5C",'Mapa final'!$O$35),"")</f>
        <v/>
      </c>
      <c r="AD50" s="67" t="str">
        <f>IF(AND('Mapa final'!$Y$36="Muy Baja",'Mapa final'!$AA$36="Mayor"),CONCATENATE("R5C",'Mapa final'!$O$36),"")</f>
        <v/>
      </c>
      <c r="AE50" s="67" t="str">
        <f>IF(AND('Mapa final'!$Y$37="Muy Baja",'Mapa final'!$AA$37="Mayor"),CONCATENATE("R5C",'Mapa final'!$O$37),"")</f>
        <v/>
      </c>
      <c r="AF50" s="67" t="str">
        <f>IF(AND('Mapa final'!$Y$38="Muy Baja",'Mapa final'!$AA$38="Mayor"),CONCATENATE("R5C",'Mapa final'!$O$38),"")</f>
        <v/>
      </c>
      <c r="AG50" s="68" t="str">
        <f>IF(AND('Mapa final'!$Y$39="Muy Baja",'Mapa final'!$AA$39="Mayor"),CONCATENATE("R5C",'Mapa final'!$O$39),"")</f>
        <v/>
      </c>
      <c r="AH50" s="69" t="str">
        <f>IF(AND('Mapa final'!$Y$34="Muy Baja",'Mapa final'!$AA$34="Catastrófico"),CONCATENATE("R5C",'Mapa final'!$O$34),"")</f>
        <v/>
      </c>
      <c r="AI50" s="70" t="str">
        <f>IF(AND('Mapa final'!$Y$35="Muy Baja",'Mapa final'!$AA$35="Catastrófico"),CONCATENATE("R5C",'Mapa final'!$O$35),"")</f>
        <v/>
      </c>
      <c r="AJ50" s="70" t="str">
        <f>IF(AND('Mapa final'!$Y$36="Muy Baja",'Mapa final'!$AA$36="Catastrófico"),CONCATENATE("R5C",'Mapa final'!$O$36),"")</f>
        <v/>
      </c>
      <c r="AK50" s="70" t="str">
        <f>IF(AND('Mapa final'!$Y$37="Muy Baja",'Mapa final'!$AA$37="Catastrófico"),CONCATENATE("R5C",'Mapa final'!$O$37),"")</f>
        <v/>
      </c>
      <c r="AL50" s="70" t="str">
        <f>IF(AND('Mapa final'!$Y$38="Muy Baja",'Mapa final'!$AA$38="Catastrófico"),CONCATENATE("R5C",'Mapa final'!$O$38),"")</f>
        <v/>
      </c>
      <c r="AM50" s="71" t="str">
        <f>IF(AND('Mapa final'!$Y$39="Muy Baja",'Mapa final'!$AA$39="Catastrófico"),CONCATENATE("R5C",'Mapa final'!$O$39),"")</f>
        <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row>
    <row r="51" spans="1:80" ht="15" customHeight="1" x14ac:dyDescent="0.25">
      <c r="A51" s="97"/>
      <c r="B51" s="246"/>
      <c r="C51" s="246"/>
      <c r="D51" s="247"/>
      <c r="E51" s="345"/>
      <c r="F51" s="344"/>
      <c r="G51" s="344"/>
      <c r="H51" s="344"/>
      <c r="I51" s="360"/>
      <c r="J51" s="90" t="str">
        <f>IF(AND('Mapa final'!$Y$40="Muy Baja",'Mapa final'!$AA$40="Leve"),CONCATENATE("R6C",'Mapa final'!$O$40),"")</f>
        <v/>
      </c>
      <c r="K51" s="91" t="str">
        <f>IF(AND('Mapa final'!$Y$41="Muy Baja",'Mapa final'!$AA$41="Leve"),CONCATENATE("R6C",'Mapa final'!$O$41),"")</f>
        <v/>
      </c>
      <c r="L51" s="91" t="str">
        <f>IF(AND('Mapa final'!$Y$42="Muy Baja",'Mapa final'!$AA$42="Leve"),CONCATENATE("R6C",'Mapa final'!$O$42),"")</f>
        <v/>
      </c>
      <c r="M51" s="91" t="str">
        <f>IF(AND('Mapa final'!$Y$43="Muy Baja",'Mapa final'!$AA$43="Leve"),CONCATENATE("R6C",'Mapa final'!$O$43),"")</f>
        <v/>
      </c>
      <c r="N51" s="91" t="str">
        <f>IF(AND('Mapa final'!$Y$44="Muy Baja",'Mapa final'!$AA$44="Leve"),CONCATENATE("R6C",'Mapa final'!$O$44),"")</f>
        <v/>
      </c>
      <c r="O51" s="92" t="str">
        <f>IF(AND('Mapa final'!$Y$45="Muy Baja",'Mapa final'!$AA$45="Leve"),CONCATENATE("R6C",'Mapa final'!$O$45),"")</f>
        <v/>
      </c>
      <c r="P51" s="90" t="str">
        <f>IF(AND('Mapa final'!$Y$40="Muy Baja",'Mapa final'!$AA$40="Menor"),CONCATENATE("R6C",'Mapa final'!$O$40),"")</f>
        <v/>
      </c>
      <c r="Q51" s="91" t="str">
        <f>IF(AND('Mapa final'!$Y$41="Muy Baja",'Mapa final'!$AA$41="Menor"),CONCATENATE("R6C",'Mapa final'!$O$41),"")</f>
        <v/>
      </c>
      <c r="R51" s="91" t="str">
        <f>IF(AND('Mapa final'!$Y$42="Muy Baja",'Mapa final'!$AA$42="Menor"),CONCATENATE("R6C",'Mapa final'!$O$42),"")</f>
        <v/>
      </c>
      <c r="S51" s="91" t="str">
        <f>IF(AND('Mapa final'!$Y$43="Muy Baja",'Mapa final'!$AA$43="Menor"),CONCATENATE("R6C",'Mapa final'!$O$43),"")</f>
        <v/>
      </c>
      <c r="T51" s="91" t="str">
        <f>IF(AND('Mapa final'!$Y$44="Muy Baja",'Mapa final'!$AA$44="Menor"),CONCATENATE("R6C",'Mapa final'!$O$44),"")</f>
        <v/>
      </c>
      <c r="U51" s="92" t="str">
        <f>IF(AND('Mapa final'!$Y$45="Muy Baja",'Mapa final'!$AA$45="Menor"),CONCATENATE("R6C",'Mapa final'!$O$45),"")</f>
        <v/>
      </c>
      <c r="V51" s="81" t="str">
        <f>IF(AND('Mapa final'!$Y$40="Muy Baja",'Mapa final'!$AA$40="Moderado"),CONCATENATE("R6C",'Mapa final'!$O$40),"")</f>
        <v/>
      </c>
      <c r="W51" s="82" t="str">
        <f>IF(AND('Mapa final'!$Y$41="Muy Baja",'Mapa final'!$AA$41="Moderado"),CONCATENATE("R6C",'Mapa final'!$O$41),"")</f>
        <v/>
      </c>
      <c r="X51" s="82" t="str">
        <f>IF(AND('Mapa final'!$Y$42="Muy Baja",'Mapa final'!$AA$42="Moderado"),CONCATENATE("R6C",'Mapa final'!$O$42),"")</f>
        <v/>
      </c>
      <c r="Y51" s="82" t="str">
        <f>IF(AND('Mapa final'!$Y$43="Muy Baja",'Mapa final'!$AA$43="Moderado"),CONCATENATE("R6C",'Mapa final'!$O$43),"")</f>
        <v/>
      </c>
      <c r="Z51" s="82" t="str">
        <f>IF(AND('Mapa final'!$Y$44="Muy Baja",'Mapa final'!$AA$44="Moderado"),CONCATENATE("R6C",'Mapa final'!$O$44),"")</f>
        <v/>
      </c>
      <c r="AA51" s="83" t="str">
        <f>IF(AND('Mapa final'!$Y$45="Muy Baja",'Mapa final'!$AA$45="Moderado"),CONCATENATE("R6C",'Mapa final'!$O$45),"")</f>
        <v/>
      </c>
      <c r="AB51" s="66" t="str">
        <f>IF(AND('Mapa final'!$Y$40="Muy Baja",'Mapa final'!$AA$40="Mayor"),CONCATENATE("R6C",'Mapa final'!$O$40),"")</f>
        <v/>
      </c>
      <c r="AC51" s="67" t="str">
        <f>IF(AND('Mapa final'!$Y$41="Muy Baja",'Mapa final'!$AA$41="Mayor"),CONCATENATE("R6C",'Mapa final'!$O$41),"")</f>
        <v/>
      </c>
      <c r="AD51" s="67" t="str">
        <f>IF(AND('Mapa final'!$Y$42="Muy Baja",'Mapa final'!$AA$42="Mayor"),CONCATENATE("R6C",'Mapa final'!$O$42),"")</f>
        <v/>
      </c>
      <c r="AE51" s="67" t="str">
        <f>IF(AND('Mapa final'!$Y$43="Muy Baja",'Mapa final'!$AA$43="Mayor"),CONCATENATE("R6C",'Mapa final'!$O$43),"")</f>
        <v/>
      </c>
      <c r="AF51" s="67" t="str">
        <f>IF(AND('Mapa final'!$Y$44="Muy Baja",'Mapa final'!$AA$44="Mayor"),CONCATENATE("R6C",'Mapa final'!$O$44),"")</f>
        <v/>
      </c>
      <c r="AG51" s="68" t="str">
        <f>IF(AND('Mapa final'!$Y$45="Muy Baja",'Mapa final'!$AA$45="Mayor"),CONCATENATE("R6C",'Mapa final'!$O$45),"")</f>
        <v/>
      </c>
      <c r="AH51" s="69" t="str">
        <f>IF(AND('Mapa final'!$Y$40="Muy Baja",'Mapa final'!$AA$40="Catastrófico"),CONCATENATE("R6C",'Mapa final'!$O$40),"")</f>
        <v/>
      </c>
      <c r="AI51" s="70" t="str">
        <f>IF(AND('Mapa final'!$Y$41="Muy Baja",'Mapa final'!$AA$41="Catastrófico"),CONCATENATE("R6C",'Mapa final'!$O$41),"")</f>
        <v/>
      </c>
      <c r="AJ51" s="70" t="str">
        <f>IF(AND('Mapa final'!$Y$42="Muy Baja",'Mapa final'!$AA$42="Catastrófico"),CONCATENATE("R6C",'Mapa final'!$O$42),"")</f>
        <v/>
      </c>
      <c r="AK51" s="70" t="str">
        <f>IF(AND('Mapa final'!$Y$43="Muy Baja",'Mapa final'!$AA$43="Catastrófico"),CONCATENATE("R6C",'Mapa final'!$O$43),"")</f>
        <v/>
      </c>
      <c r="AL51" s="70" t="str">
        <f>IF(AND('Mapa final'!$Y$44="Muy Baja",'Mapa final'!$AA$44="Catastrófico"),CONCATENATE("R6C",'Mapa final'!$O$44),"")</f>
        <v/>
      </c>
      <c r="AM51" s="71" t="str">
        <f>IF(AND('Mapa final'!$Y$45="Muy Baja",'Mapa final'!$AA$45="Catastrófico"),CONCATENATE("R6C",'Mapa final'!$O$45),"")</f>
        <v/>
      </c>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row>
    <row r="52" spans="1:80" ht="15" customHeight="1" x14ac:dyDescent="0.25">
      <c r="A52" s="97"/>
      <c r="B52" s="246"/>
      <c r="C52" s="246"/>
      <c r="D52" s="247"/>
      <c r="E52" s="345"/>
      <c r="F52" s="344"/>
      <c r="G52" s="344"/>
      <c r="H52" s="344"/>
      <c r="I52" s="360"/>
      <c r="J52" s="90" t="str">
        <f>IF(AND('Mapa final'!$Y$46="Muy Baja",'Mapa final'!$AA$46="Leve"),CONCATENATE("R7C",'Mapa final'!$O$46),"")</f>
        <v/>
      </c>
      <c r="K52" s="91" t="str">
        <f>IF(AND('Mapa final'!$Y$47="Muy Baja",'Mapa final'!$AA$47="Leve"),CONCATENATE("R7C",'Mapa final'!$O$47),"")</f>
        <v/>
      </c>
      <c r="L52" s="91" t="str">
        <f>IF(AND('Mapa final'!$Y$48="Muy Baja",'Mapa final'!$AA$48="Leve"),CONCATENATE("R7C",'Mapa final'!$O$48),"")</f>
        <v/>
      </c>
      <c r="M52" s="91" t="str">
        <f>IF(AND('Mapa final'!$Y$49="Muy Baja",'Mapa final'!$AA$49="Leve"),CONCATENATE("R7C",'Mapa final'!$O$49),"")</f>
        <v/>
      </c>
      <c r="N52" s="91" t="str">
        <f>IF(AND('Mapa final'!$Y$50="Muy Baja",'Mapa final'!$AA$50="Leve"),CONCATENATE("R7C",'Mapa final'!$O$50),"")</f>
        <v/>
      </c>
      <c r="O52" s="92" t="str">
        <f>IF(AND('Mapa final'!$Y$51="Muy Baja",'Mapa final'!$AA$51="Leve"),CONCATENATE("R7C",'Mapa final'!$O$51),"")</f>
        <v/>
      </c>
      <c r="P52" s="90" t="str">
        <f>IF(AND('Mapa final'!$Y$46="Muy Baja",'Mapa final'!$AA$46="Menor"),CONCATENATE("R7C",'Mapa final'!$O$46),"")</f>
        <v/>
      </c>
      <c r="Q52" s="91" t="str">
        <f>IF(AND('Mapa final'!$Y$47="Muy Baja",'Mapa final'!$AA$47="Menor"),CONCATENATE("R7C",'Mapa final'!$O$47),"")</f>
        <v/>
      </c>
      <c r="R52" s="91" t="str">
        <f>IF(AND('Mapa final'!$Y$48="Muy Baja",'Mapa final'!$AA$48="Menor"),CONCATENATE("R7C",'Mapa final'!$O$48),"")</f>
        <v/>
      </c>
      <c r="S52" s="91" t="str">
        <f>IF(AND('Mapa final'!$Y$49="Muy Baja",'Mapa final'!$AA$49="Menor"),CONCATENATE("R7C",'Mapa final'!$O$49),"")</f>
        <v/>
      </c>
      <c r="T52" s="91" t="str">
        <f>IF(AND('Mapa final'!$Y$50="Muy Baja",'Mapa final'!$AA$50="Menor"),CONCATENATE("R7C",'Mapa final'!$O$50),"")</f>
        <v/>
      </c>
      <c r="U52" s="92" t="str">
        <f>IF(AND('Mapa final'!$Y$51="Muy Baja",'Mapa final'!$AA$51="Menor"),CONCATENATE("R7C",'Mapa final'!$O$51),"")</f>
        <v/>
      </c>
      <c r="V52" s="81" t="str">
        <f>IF(AND('Mapa final'!$Y$46="Muy Baja",'Mapa final'!$AA$46="Moderado"),CONCATENATE("R7C",'Mapa final'!$O$46),"")</f>
        <v/>
      </c>
      <c r="W52" s="82" t="str">
        <f>IF(AND('Mapa final'!$Y$47="Muy Baja",'Mapa final'!$AA$47="Moderado"),CONCATENATE("R7C",'Mapa final'!$O$47),"")</f>
        <v/>
      </c>
      <c r="X52" s="82" t="str">
        <f>IF(AND('Mapa final'!$Y$48="Muy Baja",'Mapa final'!$AA$48="Moderado"),CONCATENATE("R7C",'Mapa final'!$O$48),"")</f>
        <v/>
      </c>
      <c r="Y52" s="82" t="str">
        <f>IF(AND('Mapa final'!$Y$49="Muy Baja",'Mapa final'!$AA$49="Moderado"),CONCATENATE("R7C",'Mapa final'!$O$49),"")</f>
        <v/>
      </c>
      <c r="Z52" s="82" t="str">
        <f>IF(AND('Mapa final'!$Y$50="Muy Baja",'Mapa final'!$AA$50="Moderado"),CONCATENATE("R7C",'Mapa final'!$O$50),"")</f>
        <v/>
      </c>
      <c r="AA52" s="83" t="str">
        <f>IF(AND('Mapa final'!$Y$51="Muy Baja",'Mapa final'!$AA$51="Moderado"),CONCATENATE("R7C",'Mapa final'!$O$51),"")</f>
        <v/>
      </c>
      <c r="AB52" s="66" t="str">
        <f>IF(AND('Mapa final'!$Y$46="Muy Baja",'Mapa final'!$AA$46="Mayor"),CONCATENATE("R7C",'Mapa final'!$O$46),"")</f>
        <v/>
      </c>
      <c r="AC52" s="67" t="str">
        <f>IF(AND('Mapa final'!$Y$47="Muy Baja",'Mapa final'!$AA$47="Mayor"),CONCATENATE("R7C",'Mapa final'!$O$47),"")</f>
        <v/>
      </c>
      <c r="AD52" s="67" t="str">
        <f>IF(AND('Mapa final'!$Y$48="Muy Baja",'Mapa final'!$AA$48="Mayor"),CONCATENATE("R7C",'Mapa final'!$O$48),"")</f>
        <v/>
      </c>
      <c r="AE52" s="67" t="str">
        <f>IF(AND('Mapa final'!$Y$49="Muy Baja",'Mapa final'!$AA$49="Mayor"),CONCATENATE("R7C",'Mapa final'!$O$49),"")</f>
        <v/>
      </c>
      <c r="AF52" s="67" t="str">
        <f>IF(AND('Mapa final'!$Y$50="Muy Baja",'Mapa final'!$AA$50="Mayor"),CONCATENATE("R7C",'Mapa final'!$O$50),"")</f>
        <v/>
      </c>
      <c r="AG52" s="68" t="str">
        <f>IF(AND('Mapa final'!$Y$51="Muy Baja",'Mapa final'!$AA$51="Mayor"),CONCATENATE("R7C",'Mapa final'!$O$51),"")</f>
        <v/>
      </c>
      <c r="AH52" s="69" t="str">
        <f>IF(AND('Mapa final'!$Y$46="Muy Baja",'Mapa final'!$AA$46="Catastrófico"),CONCATENATE("R7C",'Mapa final'!$O$46),"")</f>
        <v/>
      </c>
      <c r="AI52" s="70" t="str">
        <f>IF(AND('Mapa final'!$Y$47="Muy Baja",'Mapa final'!$AA$47="Catastrófico"),CONCATENATE("R7C",'Mapa final'!$O$47),"")</f>
        <v/>
      </c>
      <c r="AJ52" s="70" t="str">
        <f>IF(AND('Mapa final'!$Y$48="Muy Baja",'Mapa final'!$AA$48="Catastrófico"),CONCATENATE("R7C",'Mapa final'!$O$48),"")</f>
        <v/>
      </c>
      <c r="AK52" s="70" t="str">
        <f>IF(AND('Mapa final'!$Y$49="Muy Baja",'Mapa final'!$AA$49="Catastrófico"),CONCATENATE("R7C",'Mapa final'!$O$49),"")</f>
        <v/>
      </c>
      <c r="AL52" s="70" t="str">
        <f>IF(AND('Mapa final'!$Y$50="Muy Baja",'Mapa final'!$AA$50="Catastrófico"),CONCATENATE("R7C",'Mapa final'!$O$50),"")</f>
        <v/>
      </c>
      <c r="AM52" s="71" t="str">
        <f>IF(AND('Mapa final'!$Y$51="Muy Baja",'Mapa final'!$AA$51="Catastrófico"),CONCATENATE("R7C",'Mapa final'!$O$51),"")</f>
        <v/>
      </c>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row>
    <row r="53" spans="1:80" ht="15" customHeight="1" x14ac:dyDescent="0.25">
      <c r="A53" s="97"/>
      <c r="B53" s="246"/>
      <c r="C53" s="246"/>
      <c r="D53" s="247"/>
      <c r="E53" s="345"/>
      <c r="F53" s="344"/>
      <c r="G53" s="344"/>
      <c r="H53" s="344"/>
      <c r="I53" s="360"/>
      <c r="J53" s="90" t="str">
        <f>IF(AND('Mapa final'!$Y$52="Muy Baja",'Mapa final'!$AA$52="Leve"),CONCATENATE("R8C",'Mapa final'!$O$52),"")</f>
        <v/>
      </c>
      <c r="K53" s="91" t="str">
        <f>IF(AND('Mapa final'!$Y$53="Muy Baja",'Mapa final'!$AA$53="Leve"),CONCATENATE("R8C",'Mapa final'!$O$53),"")</f>
        <v/>
      </c>
      <c r="L53" s="91" t="str">
        <f>IF(AND('Mapa final'!$Y$54="Muy Baja",'Mapa final'!$AA$54="Leve"),CONCATENATE("R8C",'Mapa final'!$O$54),"")</f>
        <v/>
      </c>
      <c r="M53" s="91" t="str">
        <f>IF(AND('Mapa final'!$Y$55="Muy Baja",'Mapa final'!$AA$55="Leve"),CONCATENATE("R8C",'Mapa final'!$O$55),"")</f>
        <v/>
      </c>
      <c r="N53" s="91" t="str">
        <f>IF(AND('Mapa final'!$Y$56="Muy Baja",'Mapa final'!$AA$56="Leve"),CONCATENATE("R8C",'Mapa final'!$O$56),"")</f>
        <v/>
      </c>
      <c r="O53" s="92" t="str">
        <f>IF(AND('Mapa final'!$Y$57="Muy Baja",'Mapa final'!$AA$57="Leve"),CONCATENATE("R8C",'Mapa final'!$O$57),"")</f>
        <v/>
      </c>
      <c r="P53" s="90" t="str">
        <f>IF(AND('Mapa final'!$Y$52="Muy Baja",'Mapa final'!$AA$52="Menor"),CONCATENATE("R8C",'Mapa final'!$O$52),"")</f>
        <v/>
      </c>
      <c r="Q53" s="91" t="str">
        <f>IF(AND('Mapa final'!$Y$53="Muy Baja",'Mapa final'!$AA$53="Menor"),CONCATENATE("R8C",'Mapa final'!$O$53),"")</f>
        <v/>
      </c>
      <c r="R53" s="91" t="str">
        <f>IF(AND('Mapa final'!$Y$54="Muy Baja",'Mapa final'!$AA$54="Menor"),CONCATENATE("R8C",'Mapa final'!$O$54),"")</f>
        <v/>
      </c>
      <c r="S53" s="91" t="str">
        <f>IF(AND('Mapa final'!$Y$55="Muy Baja",'Mapa final'!$AA$55="Menor"),CONCATENATE("R8C",'Mapa final'!$O$55),"")</f>
        <v/>
      </c>
      <c r="T53" s="91" t="str">
        <f>IF(AND('Mapa final'!$Y$56="Muy Baja",'Mapa final'!$AA$56="Menor"),CONCATENATE("R8C",'Mapa final'!$O$56),"")</f>
        <v/>
      </c>
      <c r="U53" s="92" t="str">
        <f>IF(AND('Mapa final'!$Y$57="Muy Baja",'Mapa final'!$AA$57="Menor"),CONCATENATE("R8C",'Mapa final'!$O$57),"")</f>
        <v/>
      </c>
      <c r="V53" s="81" t="str">
        <f>IF(AND('Mapa final'!$Y$52="Muy Baja",'Mapa final'!$AA$52="Moderado"),CONCATENATE("R8C",'Mapa final'!$O$52),"")</f>
        <v/>
      </c>
      <c r="W53" s="82" t="str">
        <f>IF(AND('Mapa final'!$Y$53="Muy Baja",'Mapa final'!$AA$53="Moderado"),CONCATENATE("R8C",'Mapa final'!$O$53),"")</f>
        <v/>
      </c>
      <c r="X53" s="82" t="str">
        <f>IF(AND('Mapa final'!$Y$54="Muy Baja",'Mapa final'!$AA$54="Moderado"),CONCATENATE("R8C",'Mapa final'!$O$54),"")</f>
        <v/>
      </c>
      <c r="Y53" s="82" t="str">
        <f>IF(AND('Mapa final'!$Y$55="Muy Baja",'Mapa final'!$AA$55="Moderado"),CONCATENATE("R8C",'Mapa final'!$O$55),"")</f>
        <v/>
      </c>
      <c r="Z53" s="82" t="str">
        <f>IF(AND('Mapa final'!$Y$56="Muy Baja",'Mapa final'!$AA$56="Moderado"),CONCATENATE("R8C",'Mapa final'!$O$56),"")</f>
        <v/>
      </c>
      <c r="AA53" s="83" t="str">
        <f>IF(AND('Mapa final'!$Y$57="Muy Baja",'Mapa final'!$AA$57="Moderado"),CONCATENATE("R8C",'Mapa final'!$O$57),"")</f>
        <v/>
      </c>
      <c r="AB53" s="66" t="str">
        <f>IF(AND('Mapa final'!$Y$52="Muy Baja",'Mapa final'!$AA$52="Mayor"),CONCATENATE("R8C",'Mapa final'!$O$52),"")</f>
        <v/>
      </c>
      <c r="AC53" s="67" t="str">
        <f>IF(AND('Mapa final'!$Y$53="Muy Baja",'Mapa final'!$AA$53="Mayor"),CONCATENATE("R8C",'Mapa final'!$O$53),"")</f>
        <v/>
      </c>
      <c r="AD53" s="67" t="str">
        <f>IF(AND('Mapa final'!$Y$54="Muy Baja",'Mapa final'!$AA$54="Mayor"),CONCATENATE("R8C",'Mapa final'!$O$54),"")</f>
        <v/>
      </c>
      <c r="AE53" s="67" t="str">
        <f>IF(AND('Mapa final'!$Y$55="Muy Baja",'Mapa final'!$AA$55="Mayor"),CONCATENATE("R8C",'Mapa final'!$O$55),"")</f>
        <v/>
      </c>
      <c r="AF53" s="67" t="str">
        <f>IF(AND('Mapa final'!$Y$56="Muy Baja",'Mapa final'!$AA$56="Mayor"),CONCATENATE("R8C",'Mapa final'!$O$56),"")</f>
        <v/>
      </c>
      <c r="AG53" s="68" t="str">
        <f>IF(AND('Mapa final'!$Y$57="Muy Baja",'Mapa final'!$AA$57="Mayor"),CONCATENATE("R8C",'Mapa final'!$O$57),"")</f>
        <v/>
      </c>
      <c r="AH53" s="69" t="str">
        <f>IF(AND('Mapa final'!$Y$52="Muy Baja",'Mapa final'!$AA$52="Catastrófico"),CONCATENATE("R8C",'Mapa final'!$O$52),"")</f>
        <v/>
      </c>
      <c r="AI53" s="70" t="str">
        <f>IF(AND('Mapa final'!$Y$53="Muy Baja",'Mapa final'!$AA$53="Catastrófico"),CONCATENATE("R8C",'Mapa final'!$O$53),"")</f>
        <v/>
      </c>
      <c r="AJ53" s="70" t="str">
        <f>IF(AND('Mapa final'!$Y$54="Muy Baja",'Mapa final'!$AA$54="Catastrófico"),CONCATENATE("R8C",'Mapa final'!$O$54),"")</f>
        <v/>
      </c>
      <c r="AK53" s="70" t="str">
        <f>IF(AND('Mapa final'!$Y$55="Muy Baja",'Mapa final'!$AA$55="Catastrófico"),CONCATENATE("R8C",'Mapa final'!$O$55),"")</f>
        <v/>
      </c>
      <c r="AL53" s="70" t="str">
        <f>IF(AND('Mapa final'!$Y$56="Muy Baja",'Mapa final'!$AA$56="Catastrófico"),CONCATENATE("R8C",'Mapa final'!$O$56),"")</f>
        <v/>
      </c>
      <c r="AM53" s="71" t="str">
        <f>IF(AND('Mapa final'!$Y$57="Muy Baja",'Mapa final'!$AA$57="Catastrófico"),CONCATENATE("R8C",'Mapa final'!$O$57),"")</f>
        <v/>
      </c>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row>
    <row r="54" spans="1:80" ht="15" customHeight="1" x14ac:dyDescent="0.25">
      <c r="A54" s="97"/>
      <c r="B54" s="246"/>
      <c r="C54" s="246"/>
      <c r="D54" s="247"/>
      <c r="E54" s="345"/>
      <c r="F54" s="344"/>
      <c r="G54" s="344"/>
      <c r="H54" s="344"/>
      <c r="I54" s="360"/>
      <c r="J54" s="90" t="str">
        <f>IF(AND('Mapa final'!$Y$58="Muy Baja",'Mapa final'!$AA$58="Leve"),CONCATENATE("R9C",'Mapa final'!$O$58),"")</f>
        <v/>
      </c>
      <c r="K54" s="91" t="str">
        <f>IF(AND('Mapa final'!$Y$59="Muy Baja",'Mapa final'!$AA$59="Leve"),CONCATENATE("R9C",'Mapa final'!$O$59),"")</f>
        <v/>
      </c>
      <c r="L54" s="91" t="str">
        <f>IF(AND('Mapa final'!$Y$60="Muy Baja",'Mapa final'!$AA$60="Leve"),CONCATENATE("R9C",'Mapa final'!$O$60),"")</f>
        <v/>
      </c>
      <c r="M54" s="91" t="str">
        <f>IF(AND('Mapa final'!$Y$61="Muy Baja",'Mapa final'!$AA$61="Leve"),CONCATENATE("R9C",'Mapa final'!$O$61),"")</f>
        <v/>
      </c>
      <c r="N54" s="91" t="str">
        <f>IF(AND('Mapa final'!$Y$62="Muy Baja",'Mapa final'!$AA$62="Leve"),CONCATENATE("R9C",'Mapa final'!$O$62),"")</f>
        <v/>
      </c>
      <c r="O54" s="92" t="str">
        <f>IF(AND('Mapa final'!$Y$63="Muy Baja",'Mapa final'!$AA$63="Leve"),CONCATENATE("R9C",'Mapa final'!$O$63),"")</f>
        <v/>
      </c>
      <c r="P54" s="90" t="str">
        <f>IF(AND('Mapa final'!$Y$58="Muy Baja",'Mapa final'!$AA$58="Menor"),CONCATENATE("R9C",'Mapa final'!$O$58),"")</f>
        <v/>
      </c>
      <c r="Q54" s="91" t="str">
        <f>IF(AND('Mapa final'!$Y$59="Muy Baja",'Mapa final'!$AA$59="Menor"),CONCATENATE("R9C",'Mapa final'!$O$59),"")</f>
        <v/>
      </c>
      <c r="R54" s="91" t="str">
        <f>IF(AND('Mapa final'!$Y$60="Muy Baja",'Mapa final'!$AA$60="Menor"),CONCATENATE("R9C",'Mapa final'!$O$60),"")</f>
        <v/>
      </c>
      <c r="S54" s="91" t="str">
        <f>IF(AND('Mapa final'!$Y$61="Muy Baja",'Mapa final'!$AA$61="Menor"),CONCATENATE("R9C",'Mapa final'!$O$61),"")</f>
        <v/>
      </c>
      <c r="T54" s="91" t="str">
        <f>IF(AND('Mapa final'!$Y$62="Muy Baja",'Mapa final'!$AA$62="Menor"),CONCATENATE("R9C",'Mapa final'!$O$62),"")</f>
        <v/>
      </c>
      <c r="U54" s="92" t="str">
        <f>IF(AND('Mapa final'!$Y$63="Muy Baja",'Mapa final'!$AA$63="Menor"),CONCATENATE("R9C",'Mapa final'!$O$63),"")</f>
        <v/>
      </c>
      <c r="V54" s="81" t="str">
        <f>IF(AND('Mapa final'!$Y$58="Muy Baja",'Mapa final'!$AA$58="Moderado"),CONCATENATE("R9C",'Mapa final'!$O$58),"")</f>
        <v/>
      </c>
      <c r="W54" s="82" t="str">
        <f>IF(AND('Mapa final'!$Y$59="Muy Baja",'Mapa final'!$AA$59="Moderado"),CONCATENATE("R9C",'Mapa final'!$O$59),"")</f>
        <v/>
      </c>
      <c r="X54" s="82" t="str">
        <f>IF(AND('Mapa final'!$Y$60="Muy Baja",'Mapa final'!$AA$60="Moderado"),CONCATENATE("R9C",'Mapa final'!$O$60),"")</f>
        <v/>
      </c>
      <c r="Y54" s="82" t="str">
        <f>IF(AND('Mapa final'!$Y$61="Muy Baja",'Mapa final'!$AA$61="Moderado"),CONCATENATE("R9C",'Mapa final'!$O$61),"")</f>
        <v/>
      </c>
      <c r="Z54" s="82" t="str">
        <f>IF(AND('Mapa final'!$Y$62="Muy Baja",'Mapa final'!$AA$62="Moderado"),CONCATENATE("R9C",'Mapa final'!$O$62),"")</f>
        <v/>
      </c>
      <c r="AA54" s="83" t="str">
        <f>IF(AND('Mapa final'!$Y$63="Muy Baja",'Mapa final'!$AA$63="Moderado"),CONCATENATE("R9C",'Mapa final'!$O$63),"")</f>
        <v/>
      </c>
      <c r="AB54" s="66" t="str">
        <f>IF(AND('Mapa final'!$Y$58="Muy Baja",'Mapa final'!$AA$58="Mayor"),CONCATENATE("R9C",'Mapa final'!$O$58),"")</f>
        <v/>
      </c>
      <c r="AC54" s="67" t="str">
        <f>IF(AND('Mapa final'!$Y$59="Muy Baja",'Mapa final'!$AA$59="Mayor"),CONCATENATE("R9C",'Mapa final'!$O$59),"")</f>
        <v/>
      </c>
      <c r="AD54" s="67" t="str">
        <f>IF(AND('Mapa final'!$Y$60="Muy Baja",'Mapa final'!$AA$60="Mayor"),CONCATENATE("R9C",'Mapa final'!$O$60),"")</f>
        <v/>
      </c>
      <c r="AE54" s="67" t="str">
        <f>IF(AND('Mapa final'!$Y$61="Muy Baja",'Mapa final'!$AA$61="Mayor"),CONCATENATE("R9C",'Mapa final'!$O$61),"")</f>
        <v/>
      </c>
      <c r="AF54" s="67" t="str">
        <f>IF(AND('Mapa final'!$Y$62="Muy Baja",'Mapa final'!$AA$62="Mayor"),CONCATENATE("R9C",'Mapa final'!$O$62),"")</f>
        <v/>
      </c>
      <c r="AG54" s="68" t="str">
        <f>IF(AND('Mapa final'!$Y$63="Muy Baja",'Mapa final'!$AA$63="Mayor"),CONCATENATE("R9C",'Mapa final'!$O$63),"")</f>
        <v/>
      </c>
      <c r="AH54" s="69" t="str">
        <f>IF(AND('Mapa final'!$Y$58="Muy Baja",'Mapa final'!$AA$58="Catastrófico"),CONCATENATE("R9C",'Mapa final'!$O$58),"")</f>
        <v/>
      </c>
      <c r="AI54" s="70" t="str">
        <f>IF(AND('Mapa final'!$Y$59="Muy Baja",'Mapa final'!$AA$59="Catastrófico"),CONCATENATE("R9C",'Mapa final'!$O$59),"")</f>
        <v/>
      </c>
      <c r="AJ54" s="70" t="str">
        <f>IF(AND('Mapa final'!$Y$60="Muy Baja",'Mapa final'!$AA$60="Catastrófico"),CONCATENATE("R9C",'Mapa final'!$O$60),"")</f>
        <v/>
      </c>
      <c r="AK54" s="70" t="str">
        <f>IF(AND('Mapa final'!$Y$61="Muy Baja",'Mapa final'!$AA$61="Catastrófico"),CONCATENATE("R9C",'Mapa final'!$O$61),"")</f>
        <v/>
      </c>
      <c r="AL54" s="70" t="str">
        <f>IF(AND('Mapa final'!$Y$62="Muy Baja",'Mapa final'!$AA$62="Catastrófico"),CONCATENATE("R9C",'Mapa final'!$O$62),"")</f>
        <v/>
      </c>
      <c r="AM54" s="71" t="str">
        <f>IF(AND('Mapa final'!$Y$63="Muy Baja",'Mapa final'!$AA$63="Catastrófico"),CONCATENATE("R9C",'Mapa final'!$O$63),"")</f>
        <v/>
      </c>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row>
    <row r="55" spans="1:80" ht="15.75" customHeight="1" thickBot="1" x14ac:dyDescent="0.3">
      <c r="A55" s="97"/>
      <c r="B55" s="246"/>
      <c r="C55" s="246"/>
      <c r="D55" s="247"/>
      <c r="E55" s="346"/>
      <c r="F55" s="347"/>
      <c r="G55" s="347"/>
      <c r="H55" s="347"/>
      <c r="I55" s="361"/>
      <c r="J55" s="93" t="str">
        <f>IF(AND('Mapa final'!$Y$64="Muy Baja",'Mapa final'!$AA$64="Leve"),CONCATENATE("R10C",'Mapa final'!$O$64),"")</f>
        <v/>
      </c>
      <c r="K55" s="94" t="str">
        <f>IF(AND('Mapa final'!$Y$65="Muy Baja",'Mapa final'!$AA$65="Leve"),CONCATENATE("R10C",'Mapa final'!$O$65),"")</f>
        <v/>
      </c>
      <c r="L55" s="94" t="str">
        <f>IF(AND('Mapa final'!$Y$66="Muy Baja",'Mapa final'!$AA$66="Leve"),CONCATENATE("R10C",'Mapa final'!$O$66),"")</f>
        <v/>
      </c>
      <c r="M55" s="94" t="str">
        <f>IF(AND('Mapa final'!$Y$67="Muy Baja",'Mapa final'!$AA$67="Leve"),CONCATENATE("R10C",'Mapa final'!$O$67),"")</f>
        <v/>
      </c>
      <c r="N55" s="94" t="str">
        <f>IF(AND('Mapa final'!$Y$68="Muy Baja",'Mapa final'!$AA$68="Leve"),CONCATENATE("R10C",'Mapa final'!$O$68),"")</f>
        <v/>
      </c>
      <c r="O55" s="95" t="str">
        <f>IF(AND('Mapa final'!$Y$69="Muy Baja",'Mapa final'!$AA$69="Leve"),CONCATENATE("R10C",'Mapa final'!$O$69),"")</f>
        <v/>
      </c>
      <c r="P55" s="93" t="str">
        <f>IF(AND('Mapa final'!$Y$64="Muy Baja",'Mapa final'!$AA$64="Menor"),CONCATENATE("R10C",'Mapa final'!$O$64),"")</f>
        <v/>
      </c>
      <c r="Q55" s="94" t="str">
        <f>IF(AND('Mapa final'!$Y$65="Muy Baja",'Mapa final'!$AA$65="Menor"),CONCATENATE("R10C",'Mapa final'!$O$65),"")</f>
        <v/>
      </c>
      <c r="R55" s="94" t="str">
        <f>IF(AND('Mapa final'!$Y$66="Muy Baja",'Mapa final'!$AA$66="Menor"),CONCATENATE("R10C",'Mapa final'!$O$66),"")</f>
        <v/>
      </c>
      <c r="S55" s="94" t="str">
        <f>IF(AND('Mapa final'!$Y$67="Muy Baja",'Mapa final'!$AA$67="Menor"),CONCATENATE("R10C",'Mapa final'!$O$67),"")</f>
        <v/>
      </c>
      <c r="T55" s="94" t="str">
        <f>IF(AND('Mapa final'!$Y$68="Muy Baja",'Mapa final'!$AA$68="Menor"),CONCATENATE("R10C",'Mapa final'!$O$68),"")</f>
        <v/>
      </c>
      <c r="U55" s="95" t="str">
        <f>IF(AND('Mapa final'!$Y$69="Muy Baja",'Mapa final'!$AA$69="Menor"),CONCATENATE("R10C",'Mapa final'!$O$69),"")</f>
        <v/>
      </c>
      <c r="V55" s="84" t="str">
        <f>IF(AND('Mapa final'!$Y$64="Muy Baja",'Mapa final'!$AA$64="Moderado"),CONCATENATE("R10C",'Mapa final'!$O$64),"")</f>
        <v/>
      </c>
      <c r="W55" s="85" t="str">
        <f>IF(AND('Mapa final'!$Y$65="Muy Baja",'Mapa final'!$AA$65="Moderado"),CONCATENATE("R10C",'Mapa final'!$O$65),"")</f>
        <v/>
      </c>
      <c r="X55" s="85" t="str">
        <f>IF(AND('Mapa final'!$Y$66="Muy Baja",'Mapa final'!$AA$66="Moderado"),CONCATENATE("R10C",'Mapa final'!$O$66),"")</f>
        <v/>
      </c>
      <c r="Y55" s="85" t="str">
        <f>IF(AND('Mapa final'!$Y$67="Muy Baja",'Mapa final'!$AA$67="Moderado"),CONCATENATE("R10C",'Mapa final'!$O$67),"")</f>
        <v/>
      </c>
      <c r="Z55" s="85" t="str">
        <f>IF(AND('Mapa final'!$Y$68="Muy Baja",'Mapa final'!$AA$68="Moderado"),CONCATENATE("R10C",'Mapa final'!$O$68),"")</f>
        <v/>
      </c>
      <c r="AA55" s="86" t="str">
        <f>IF(AND('Mapa final'!$Y$69="Muy Baja",'Mapa final'!$AA$69="Moderado"),CONCATENATE("R10C",'Mapa final'!$O$69),"")</f>
        <v/>
      </c>
      <c r="AB55" s="72" t="str">
        <f>IF(AND('Mapa final'!$Y$64="Muy Baja",'Mapa final'!$AA$64="Mayor"),CONCATENATE("R10C",'Mapa final'!$O$64),"")</f>
        <v/>
      </c>
      <c r="AC55" s="73" t="str">
        <f>IF(AND('Mapa final'!$Y$65="Muy Baja",'Mapa final'!$AA$65="Mayor"),CONCATENATE("R10C",'Mapa final'!$O$65),"")</f>
        <v/>
      </c>
      <c r="AD55" s="73" t="str">
        <f>IF(AND('Mapa final'!$Y$66="Muy Baja",'Mapa final'!$AA$66="Mayor"),CONCATENATE("R10C",'Mapa final'!$O$66),"")</f>
        <v/>
      </c>
      <c r="AE55" s="73" t="str">
        <f>IF(AND('Mapa final'!$Y$67="Muy Baja",'Mapa final'!$AA$67="Mayor"),CONCATENATE("R10C",'Mapa final'!$O$67),"")</f>
        <v/>
      </c>
      <c r="AF55" s="73" t="str">
        <f>IF(AND('Mapa final'!$Y$68="Muy Baja",'Mapa final'!$AA$68="Mayor"),CONCATENATE("R10C",'Mapa final'!$O$68),"")</f>
        <v/>
      </c>
      <c r="AG55" s="74" t="str">
        <f>IF(AND('Mapa final'!$Y$69="Muy Baja",'Mapa final'!$AA$69="Mayor"),CONCATENATE("R10C",'Mapa final'!$O$69),"")</f>
        <v/>
      </c>
      <c r="AH55" s="75" t="str">
        <f>IF(AND('Mapa final'!$Y$64="Muy Baja",'Mapa final'!$AA$64="Catastrófico"),CONCATENATE("R10C",'Mapa final'!$O$64),"")</f>
        <v/>
      </c>
      <c r="AI55" s="76" t="str">
        <f>IF(AND('Mapa final'!$Y$65="Muy Baja",'Mapa final'!$AA$65="Catastrófico"),CONCATENATE("R10C",'Mapa final'!$O$65),"")</f>
        <v/>
      </c>
      <c r="AJ55" s="76" t="str">
        <f>IF(AND('Mapa final'!$Y$66="Muy Baja",'Mapa final'!$AA$66="Catastrófico"),CONCATENATE("R10C",'Mapa final'!$O$66),"")</f>
        <v/>
      </c>
      <c r="AK55" s="76" t="str">
        <f>IF(AND('Mapa final'!$Y$67="Muy Baja",'Mapa final'!$AA$67="Catastrófico"),CONCATENATE("R10C",'Mapa final'!$O$67),"")</f>
        <v/>
      </c>
      <c r="AL55" s="76" t="str">
        <f>IF(AND('Mapa final'!$Y$68="Muy Baja",'Mapa final'!$AA$68="Catastrófico"),CONCATENATE("R10C",'Mapa final'!$O$68),"")</f>
        <v/>
      </c>
      <c r="AM55" s="77" t="str">
        <f>IF(AND('Mapa final'!$Y$69="Muy Baja",'Mapa final'!$AA$69="Catastrófico"),CONCATENATE("R10C",'Mapa final'!$O$69),"")</f>
        <v/>
      </c>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row>
    <row r="56" spans="1:80" x14ac:dyDescent="0.25">
      <c r="A56" s="97"/>
      <c r="B56" s="97"/>
      <c r="C56" s="97"/>
      <c r="D56" s="97"/>
      <c r="E56" s="97"/>
      <c r="F56" s="97"/>
      <c r="G56" s="97"/>
      <c r="H56" s="97"/>
      <c r="I56" s="97"/>
      <c r="J56" s="341" t="s">
        <v>112</v>
      </c>
      <c r="K56" s="342"/>
      <c r="L56" s="342"/>
      <c r="M56" s="342"/>
      <c r="N56" s="342"/>
      <c r="O56" s="359"/>
      <c r="P56" s="341" t="s">
        <v>111</v>
      </c>
      <c r="Q56" s="342"/>
      <c r="R56" s="342"/>
      <c r="S56" s="342"/>
      <c r="T56" s="342"/>
      <c r="U56" s="359"/>
      <c r="V56" s="341" t="s">
        <v>110</v>
      </c>
      <c r="W56" s="342"/>
      <c r="X56" s="342"/>
      <c r="Y56" s="342"/>
      <c r="Z56" s="342"/>
      <c r="AA56" s="359"/>
      <c r="AB56" s="341" t="s">
        <v>109</v>
      </c>
      <c r="AC56" s="380"/>
      <c r="AD56" s="342"/>
      <c r="AE56" s="342"/>
      <c r="AF56" s="342"/>
      <c r="AG56" s="359"/>
      <c r="AH56" s="341" t="s">
        <v>108</v>
      </c>
      <c r="AI56" s="342"/>
      <c r="AJ56" s="342"/>
      <c r="AK56" s="342"/>
      <c r="AL56" s="342"/>
      <c r="AM56" s="359"/>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row>
    <row r="57" spans="1:80" x14ac:dyDescent="0.25">
      <c r="A57" s="97"/>
      <c r="B57" s="97"/>
      <c r="C57" s="97"/>
      <c r="D57" s="97"/>
      <c r="E57" s="97"/>
      <c r="F57" s="97"/>
      <c r="G57" s="97"/>
      <c r="H57" s="97"/>
      <c r="I57" s="97"/>
      <c r="J57" s="345"/>
      <c r="K57" s="344"/>
      <c r="L57" s="344"/>
      <c r="M57" s="344"/>
      <c r="N57" s="344"/>
      <c r="O57" s="360"/>
      <c r="P57" s="345"/>
      <c r="Q57" s="344"/>
      <c r="R57" s="344"/>
      <c r="S57" s="344"/>
      <c r="T57" s="344"/>
      <c r="U57" s="360"/>
      <c r="V57" s="345"/>
      <c r="W57" s="344"/>
      <c r="X57" s="344"/>
      <c r="Y57" s="344"/>
      <c r="Z57" s="344"/>
      <c r="AA57" s="360"/>
      <c r="AB57" s="345"/>
      <c r="AC57" s="344"/>
      <c r="AD57" s="344"/>
      <c r="AE57" s="344"/>
      <c r="AF57" s="344"/>
      <c r="AG57" s="360"/>
      <c r="AH57" s="345"/>
      <c r="AI57" s="344"/>
      <c r="AJ57" s="344"/>
      <c r="AK57" s="344"/>
      <c r="AL57" s="344"/>
      <c r="AM57" s="360"/>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row>
    <row r="58" spans="1:80" x14ac:dyDescent="0.25">
      <c r="A58" s="97"/>
      <c r="B58" s="97"/>
      <c r="C58" s="97"/>
      <c r="D58" s="97"/>
      <c r="E58" s="97"/>
      <c r="F58" s="97"/>
      <c r="G58" s="97"/>
      <c r="H58" s="97"/>
      <c r="I58" s="97"/>
      <c r="J58" s="345"/>
      <c r="K58" s="344"/>
      <c r="L58" s="344"/>
      <c r="M58" s="344"/>
      <c r="N58" s="344"/>
      <c r="O58" s="360"/>
      <c r="P58" s="345"/>
      <c r="Q58" s="344"/>
      <c r="R58" s="344"/>
      <c r="S58" s="344"/>
      <c r="T58" s="344"/>
      <c r="U58" s="360"/>
      <c r="V58" s="345"/>
      <c r="W58" s="344"/>
      <c r="X58" s="344"/>
      <c r="Y58" s="344"/>
      <c r="Z58" s="344"/>
      <c r="AA58" s="360"/>
      <c r="AB58" s="345"/>
      <c r="AC58" s="344"/>
      <c r="AD58" s="344"/>
      <c r="AE58" s="344"/>
      <c r="AF58" s="344"/>
      <c r="AG58" s="360"/>
      <c r="AH58" s="345"/>
      <c r="AI58" s="344"/>
      <c r="AJ58" s="344"/>
      <c r="AK58" s="344"/>
      <c r="AL58" s="344"/>
      <c r="AM58" s="360"/>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row>
    <row r="59" spans="1:80" x14ac:dyDescent="0.25">
      <c r="A59" s="97"/>
      <c r="B59" s="97"/>
      <c r="C59" s="97"/>
      <c r="D59" s="97"/>
      <c r="E59" s="97"/>
      <c r="F59" s="97"/>
      <c r="G59" s="97"/>
      <c r="H59" s="97"/>
      <c r="I59" s="97"/>
      <c r="J59" s="345"/>
      <c r="K59" s="344"/>
      <c r="L59" s="344"/>
      <c r="M59" s="344"/>
      <c r="N59" s="344"/>
      <c r="O59" s="360"/>
      <c r="P59" s="345"/>
      <c r="Q59" s="344"/>
      <c r="R59" s="344"/>
      <c r="S59" s="344"/>
      <c r="T59" s="344"/>
      <c r="U59" s="360"/>
      <c r="V59" s="345"/>
      <c r="W59" s="344"/>
      <c r="X59" s="344"/>
      <c r="Y59" s="344"/>
      <c r="Z59" s="344"/>
      <c r="AA59" s="360"/>
      <c r="AB59" s="345"/>
      <c r="AC59" s="344"/>
      <c r="AD59" s="344"/>
      <c r="AE59" s="344"/>
      <c r="AF59" s="344"/>
      <c r="AG59" s="360"/>
      <c r="AH59" s="345"/>
      <c r="AI59" s="344"/>
      <c r="AJ59" s="344"/>
      <c r="AK59" s="344"/>
      <c r="AL59" s="344"/>
      <c r="AM59" s="360"/>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row>
    <row r="60" spans="1:80" x14ac:dyDescent="0.25">
      <c r="A60" s="97"/>
      <c r="B60" s="97"/>
      <c r="C60" s="97"/>
      <c r="D60" s="97"/>
      <c r="E60" s="97"/>
      <c r="F60" s="97"/>
      <c r="G60" s="97"/>
      <c r="H60" s="97"/>
      <c r="I60" s="97"/>
      <c r="J60" s="345"/>
      <c r="K60" s="344"/>
      <c r="L60" s="344"/>
      <c r="M60" s="344"/>
      <c r="N60" s="344"/>
      <c r="O60" s="360"/>
      <c r="P60" s="345"/>
      <c r="Q60" s="344"/>
      <c r="R60" s="344"/>
      <c r="S60" s="344"/>
      <c r="T60" s="344"/>
      <c r="U60" s="360"/>
      <c r="V60" s="345"/>
      <c r="W60" s="344"/>
      <c r="X60" s="344"/>
      <c r="Y60" s="344"/>
      <c r="Z60" s="344"/>
      <c r="AA60" s="360"/>
      <c r="AB60" s="345"/>
      <c r="AC60" s="344"/>
      <c r="AD60" s="344"/>
      <c r="AE60" s="344"/>
      <c r="AF60" s="344"/>
      <c r="AG60" s="360"/>
      <c r="AH60" s="345"/>
      <c r="AI60" s="344"/>
      <c r="AJ60" s="344"/>
      <c r="AK60" s="344"/>
      <c r="AL60" s="344"/>
      <c r="AM60" s="360"/>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row>
    <row r="61" spans="1:80" ht="15.75" thickBot="1" x14ac:dyDescent="0.3">
      <c r="A61" s="97"/>
      <c r="B61" s="97"/>
      <c r="C61" s="97"/>
      <c r="D61" s="97"/>
      <c r="E61" s="97"/>
      <c r="F61" s="97"/>
      <c r="G61" s="97"/>
      <c r="H61" s="97"/>
      <c r="I61" s="97"/>
      <c r="J61" s="346"/>
      <c r="K61" s="347"/>
      <c r="L61" s="347"/>
      <c r="M61" s="347"/>
      <c r="N61" s="347"/>
      <c r="O61" s="361"/>
      <c r="P61" s="346"/>
      <c r="Q61" s="347"/>
      <c r="R61" s="347"/>
      <c r="S61" s="347"/>
      <c r="T61" s="347"/>
      <c r="U61" s="361"/>
      <c r="V61" s="346"/>
      <c r="W61" s="347"/>
      <c r="X61" s="347"/>
      <c r="Y61" s="347"/>
      <c r="Z61" s="347"/>
      <c r="AA61" s="361"/>
      <c r="AB61" s="346"/>
      <c r="AC61" s="347"/>
      <c r="AD61" s="347"/>
      <c r="AE61" s="347"/>
      <c r="AF61" s="347"/>
      <c r="AG61" s="361"/>
      <c r="AH61" s="346"/>
      <c r="AI61" s="347"/>
      <c r="AJ61" s="347"/>
      <c r="AK61" s="347"/>
      <c r="AL61" s="347"/>
      <c r="AM61" s="361"/>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row>
    <row r="62" spans="1:80" x14ac:dyDescent="0.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row>
    <row r="63" spans="1:80" ht="15" customHeight="1" x14ac:dyDescent="0.25">
      <c r="A63" s="97"/>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97"/>
      <c r="AV63" s="97"/>
      <c r="AW63" s="97"/>
      <c r="AX63" s="97"/>
      <c r="AY63" s="97"/>
      <c r="AZ63" s="97"/>
      <c r="BA63" s="97"/>
      <c r="BB63" s="97"/>
      <c r="BC63" s="97"/>
      <c r="BD63" s="97"/>
      <c r="BE63" s="97"/>
      <c r="BF63" s="97"/>
      <c r="BG63" s="97"/>
      <c r="BH63" s="97"/>
    </row>
    <row r="64" spans="1:80" ht="15" customHeight="1" x14ac:dyDescent="0.25">
      <c r="A64" s="97"/>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97"/>
      <c r="AV64" s="97"/>
      <c r="AW64" s="97"/>
      <c r="AX64" s="97"/>
      <c r="AY64" s="97"/>
      <c r="AZ64" s="97"/>
      <c r="BA64" s="97"/>
      <c r="BB64" s="97"/>
      <c r="BC64" s="97"/>
      <c r="BD64" s="97"/>
      <c r="BE64" s="97"/>
      <c r="BF64" s="97"/>
      <c r="BG64" s="97"/>
      <c r="BH64" s="97"/>
    </row>
    <row r="65" spans="1:60" x14ac:dyDescent="0.2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row>
    <row r="66" spans="1:60" x14ac:dyDescent="0.2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row>
    <row r="67" spans="1:60" x14ac:dyDescent="0.2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row>
    <row r="68" spans="1:60" x14ac:dyDescent="0.2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row>
    <row r="69" spans="1:60" x14ac:dyDescent="0.2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row>
    <row r="70" spans="1:60" x14ac:dyDescent="0.2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row>
    <row r="71" spans="1:60" x14ac:dyDescent="0.2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row>
    <row r="72" spans="1:60" x14ac:dyDescent="0.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row>
    <row r="73" spans="1:60" x14ac:dyDescent="0.2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row>
    <row r="74" spans="1:60" x14ac:dyDescent="0.2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row>
    <row r="75" spans="1:60" x14ac:dyDescent="0.2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row>
    <row r="76" spans="1:60" x14ac:dyDescent="0.2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row>
    <row r="77" spans="1:60" x14ac:dyDescent="0.2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row>
    <row r="78" spans="1:60" x14ac:dyDescent="0.2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row>
    <row r="79" spans="1:60" x14ac:dyDescent="0.2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row>
    <row r="80" spans="1:60" x14ac:dyDescent="0.2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row>
    <row r="81" spans="1:60" x14ac:dyDescent="0.2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row>
    <row r="82" spans="1:60"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row>
    <row r="83" spans="1:60"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row>
    <row r="84" spans="1:60" x14ac:dyDescent="0.2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row>
    <row r="85" spans="1:60"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row>
    <row r="86" spans="1:60"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row>
    <row r="87" spans="1:60" x14ac:dyDescent="0.2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row>
    <row r="88" spans="1:60" x14ac:dyDescent="0.2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row>
    <row r="89" spans="1:60" x14ac:dyDescent="0.2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row>
    <row r="90" spans="1:60" x14ac:dyDescent="0.2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row>
    <row r="91" spans="1:60" x14ac:dyDescent="0.2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row>
    <row r="92" spans="1:60" x14ac:dyDescent="0.2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row>
    <row r="93" spans="1:60" x14ac:dyDescent="0.2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row>
    <row r="94" spans="1:60" x14ac:dyDescent="0.2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row>
    <row r="95" spans="1:60" x14ac:dyDescent="0.2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row>
    <row r="96" spans="1:60" x14ac:dyDescent="0.2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row>
    <row r="97" spans="1:60" x14ac:dyDescent="0.2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row>
    <row r="98" spans="1:60" x14ac:dyDescent="0.2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row>
    <row r="99" spans="1:60" x14ac:dyDescent="0.2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row>
    <row r="100" spans="1:60" x14ac:dyDescent="0.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row>
    <row r="101" spans="1:60" x14ac:dyDescent="0.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row>
    <row r="102" spans="1:60" x14ac:dyDescent="0.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row>
    <row r="103" spans="1:60" x14ac:dyDescent="0.2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row>
    <row r="104" spans="1:60" x14ac:dyDescent="0.2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row>
    <row r="105" spans="1:60" x14ac:dyDescent="0.2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row>
    <row r="106" spans="1:60" x14ac:dyDescent="0.2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row>
    <row r="107" spans="1:60" x14ac:dyDescent="0.2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row>
    <row r="108" spans="1:60" x14ac:dyDescent="0.2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row>
    <row r="109" spans="1:60" x14ac:dyDescent="0.2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row>
    <row r="110" spans="1:60" x14ac:dyDescent="0.2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row>
    <row r="111" spans="1:60" x14ac:dyDescent="0.2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row>
    <row r="112" spans="1:60" x14ac:dyDescent="0.2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row>
    <row r="113" spans="1:60" x14ac:dyDescent="0.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row>
    <row r="114" spans="1:60" x14ac:dyDescent="0.2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row>
    <row r="115" spans="1:60" x14ac:dyDescent="0.2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row>
    <row r="116" spans="1:60" x14ac:dyDescent="0.2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row>
    <row r="117" spans="1:60" x14ac:dyDescent="0.2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row>
    <row r="118" spans="1:60" x14ac:dyDescent="0.2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row>
    <row r="119" spans="1:60" x14ac:dyDescent="0.2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row>
    <row r="120" spans="1:60" x14ac:dyDescent="0.2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row>
    <row r="121" spans="1:60" x14ac:dyDescent="0.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row>
    <row r="122" spans="1:60" x14ac:dyDescent="0.2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row>
    <row r="123" spans="1:60" x14ac:dyDescent="0.2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row>
    <row r="124" spans="1:60" x14ac:dyDescent="0.2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row>
    <row r="125" spans="1:60" x14ac:dyDescent="0.25">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row>
    <row r="126" spans="1:60" x14ac:dyDescent="0.25">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row>
    <row r="127" spans="1:60" x14ac:dyDescent="0.25">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row>
    <row r="128" spans="1:60" x14ac:dyDescent="0.25">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row>
    <row r="129" spans="1:60" x14ac:dyDescent="0.25">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row>
    <row r="130" spans="1:60" x14ac:dyDescent="0.25">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row>
    <row r="131" spans="1:60" x14ac:dyDescent="0.25">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row>
    <row r="132" spans="1:60" x14ac:dyDescent="0.25">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row>
    <row r="133" spans="1:60" x14ac:dyDescent="0.25">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row>
    <row r="134" spans="1:60" x14ac:dyDescent="0.25">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row>
    <row r="135" spans="1:60" x14ac:dyDescent="0.25">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row>
    <row r="136" spans="1:60" x14ac:dyDescent="0.25">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row>
    <row r="137" spans="1:60" x14ac:dyDescent="0.25">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row>
    <row r="138" spans="1:60" x14ac:dyDescent="0.25">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row>
    <row r="139" spans="1:60" x14ac:dyDescent="0.25">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row>
    <row r="140" spans="1:60" x14ac:dyDescent="0.25">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row>
    <row r="141" spans="1:60" x14ac:dyDescent="0.25">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row>
    <row r="142" spans="1:60" x14ac:dyDescent="0.25">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row>
    <row r="143" spans="1:60" x14ac:dyDescent="0.25">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row>
    <row r="144" spans="1:60" x14ac:dyDescent="0.25">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row>
    <row r="145" spans="1:60" x14ac:dyDescent="0.25">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row>
    <row r="146" spans="1:60" x14ac:dyDescent="0.25">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row>
    <row r="147" spans="1:60" x14ac:dyDescent="0.25">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row>
    <row r="148" spans="1:60" x14ac:dyDescent="0.25">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row>
    <row r="149" spans="1:60" x14ac:dyDescent="0.25">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row>
    <row r="150" spans="1:60" x14ac:dyDescent="0.25">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row>
    <row r="151" spans="1:60" x14ac:dyDescent="0.25">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row>
    <row r="152" spans="1:60" x14ac:dyDescent="0.25">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row>
    <row r="153" spans="1:60" x14ac:dyDescent="0.25">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row>
    <row r="154" spans="1:60" x14ac:dyDescent="0.25">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row>
    <row r="155" spans="1:60" x14ac:dyDescent="0.25">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row>
    <row r="156" spans="1:60" x14ac:dyDescent="0.25">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row>
    <row r="157" spans="1:60" x14ac:dyDescent="0.25">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row>
    <row r="158" spans="1:60" x14ac:dyDescent="0.25">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row>
    <row r="159" spans="1:60" x14ac:dyDescent="0.25">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row>
    <row r="160" spans="1:60" x14ac:dyDescent="0.25">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row>
    <row r="161" spans="1:60" x14ac:dyDescent="0.25">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row>
    <row r="162" spans="1:60" x14ac:dyDescent="0.25">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row>
    <row r="163" spans="1:60" x14ac:dyDescent="0.25">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row>
    <row r="164" spans="1:60" x14ac:dyDescent="0.25">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row>
    <row r="165" spans="1:60" x14ac:dyDescent="0.25">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row>
    <row r="166" spans="1:60" x14ac:dyDescent="0.25">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row>
    <row r="167" spans="1:60" x14ac:dyDescent="0.25">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row>
    <row r="168" spans="1:60" x14ac:dyDescent="0.25">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row>
    <row r="169" spans="1:60" x14ac:dyDescent="0.25">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row>
    <row r="170" spans="1:60" x14ac:dyDescent="0.25">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row>
    <row r="171" spans="1:60" x14ac:dyDescent="0.25">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row>
    <row r="172" spans="1:60" x14ac:dyDescent="0.25">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row>
    <row r="173" spans="1:60" x14ac:dyDescent="0.25">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row>
    <row r="174" spans="1:60" x14ac:dyDescent="0.25">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row>
    <row r="175" spans="1:60" x14ac:dyDescent="0.25">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row>
    <row r="176" spans="1:60" x14ac:dyDescent="0.25">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row>
    <row r="177" spans="1:60" x14ac:dyDescent="0.25">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row>
    <row r="178" spans="1:60" x14ac:dyDescent="0.25">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row>
    <row r="179" spans="1:60" x14ac:dyDescent="0.25">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row>
    <row r="180" spans="1:60" x14ac:dyDescent="0.25">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row>
    <row r="181" spans="1:60" x14ac:dyDescent="0.25">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row>
    <row r="182" spans="1:60" x14ac:dyDescent="0.25">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row>
    <row r="183" spans="1:60" x14ac:dyDescent="0.25">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row>
    <row r="184" spans="1:60" x14ac:dyDescent="0.25">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row>
    <row r="185" spans="1:60" x14ac:dyDescent="0.25">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row>
    <row r="186" spans="1:60" x14ac:dyDescent="0.25">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row>
    <row r="187" spans="1:60" x14ac:dyDescent="0.25">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row>
    <row r="188" spans="1:60" x14ac:dyDescent="0.25">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row>
    <row r="189" spans="1:60" x14ac:dyDescent="0.25">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row>
    <row r="190" spans="1:60" x14ac:dyDescent="0.25">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row>
    <row r="191" spans="1:60" x14ac:dyDescent="0.25">
      <c r="A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row>
    <row r="192" spans="1:60" x14ac:dyDescent="0.25">
      <c r="A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row>
    <row r="193" spans="1:60" x14ac:dyDescent="0.25">
      <c r="A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row>
    <row r="194" spans="1:60" x14ac:dyDescent="0.25">
      <c r="A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row>
    <row r="195" spans="1:60" x14ac:dyDescent="0.25">
      <c r="A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row>
    <row r="196" spans="1:60" x14ac:dyDescent="0.25">
      <c r="A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row>
    <row r="197" spans="1:60" x14ac:dyDescent="0.25">
      <c r="A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row>
    <row r="198" spans="1:60" x14ac:dyDescent="0.25">
      <c r="A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row>
    <row r="199" spans="1:60" x14ac:dyDescent="0.25">
      <c r="A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row>
    <row r="200" spans="1:60" x14ac:dyDescent="0.25">
      <c r="A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row>
    <row r="201" spans="1:60" x14ac:dyDescent="0.25">
      <c r="A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row>
    <row r="202" spans="1:60" x14ac:dyDescent="0.25">
      <c r="A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row>
    <row r="203" spans="1:60" x14ac:dyDescent="0.25">
      <c r="A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row>
    <row r="204" spans="1:60" x14ac:dyDescent="0.25">
      <c r="A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row>
    <row r="205" spans="1:60" x14ac:dyDescent="0.25">
      <c r="A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row>
    <row r="206" spans="1:60" x14ac:dyDescent="0.25">
      <c r="A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row>
    <row r="207" spans="1:60" x14ac:dyDescent="0.25">
      <c r="A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row>
    <row r="208" spans="1:60" x14ac:dyDescent="0.25">
      <c r="A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row>
    <row r="209" spans="1:60" x14ac:dyDescent="0.25">
      <c r="A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row>
    <row r="210" spans="1:60" x14ac:dyDescent="0.25">
      <c r="A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row>
    <row r="211" spans="1:60" x14ac:dyDescent="0.25">
      <c r="A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row>
    <row r="212" spans="1:60" x14ac:dyDescent="0.25">
      <c r="A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row>
    <row r="213" spans="1:60" x14ac:dyDescent="0.25">
      <c r="A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row>
    <row r="214" spans="1:60" x14ac:dyDescent="0.25">
      <c r="A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row>
    <row r="215" spans="1:60" x14ac:dyDescent="0.25">
      <c r="A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row>
    <row r="216" spans="1:60" x14ac:dyDescent="0.25">
      <c r="A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row>
    <row r="217" spans="1:60" x14ac:dyDescent="0.25">
      <c r="A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row>
    <row r="218" spans="1:60" x14ac:dyDescent="0.25">
      <c r="A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row>
    <row r="219" spans="1:60" x14ac:dyDescent="0.25">
      <c r="A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row>
    <row r="220" spans="1:60" x14ac:dyDescent="0.25">
      <c r="A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row>
    <row r="221" spans="1:60" x14ac:dyDescent="0.25">
      <c r="A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row>
    <row r="222" spans="1:60" x14ac:dyDescent="0.25">
      <c r="A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row>
    <row r="223" spans="1:60" x14ac:dyDescent="0.25">
      <c r="A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row>
    <row r="224" spans="1:60" x14ac:dyDescent="0.25">
      <c r="A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row>
    <row r="225" spans="1:60" x14ac:dyDescent="0.25">
      <c r="A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row>
    <row r="226" spans="1:60" x14ac:dyDescent="0.25">
      <c r="A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row>
    <row r="227" spans="1:60" x14ac:dyDescent="0.25">
      <c r="A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row>
    <row r="228" spans="1:60" x14ac:dyDescent="0.25">
      <c r="A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row>
    <row r="229" spans="1:60" x14ac:dyDescent="0.25">
      <c r="A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row>
    <row r="230" spans="1:60" x14ac:dyDescent="0.25">
      <c r="A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row>
    <row r="231" spans="1:60" x14ac:dyDescent="0.25">
      <c r="A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row>
    <row r="232" spans="1:60" x14ac:dyDescent="0.25">
      <c r="A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row>
    <row r="233" spans="1:60" x14ac:dyDescent="0.25">
      <c r="A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row>
    <row r="234" spans="1:60" x14ac:dyDescent="0.25">
      <c r="A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row>
    <row r="235" spans="1:60" x14ac:dyDescent="0.25">
      <c r="A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row>
    <row r="236" spans="1:60" x14ac:dyDescent="0.25">
      <c r="A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row>
    <row r="237" spans="1:60" x14ac:dyDescent="0.25">
      <c r="A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row>
    <row r="238" spans="1:60" x14ac:dyDescent="0.25">
      <c r="A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row>
    <row r="239" spans="1:60" x14ac:dyDescent="0.25">
      <c r="A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row>
    <row r="240" spans="1:60" x14ac:dyDescent="0.25">
      <c r="A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row>
    <row r="241" spans="1:60" x14ac:dyDescent="0.25">
      <c r="A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row>
    <row r="242" spans="1:60" x14ac:dyDescent="0.25">
      <c r="A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row>
    <row r="243" spans="1:60" x14ac:dyDescent="0.25">
      <c r="A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row>
    <row r="244" spans="1:60" x14ac:dyDescent="0.25">
      <c r="A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row>
    <row r="245" spans="1:60" x14ac:dyDescent="0.25">
      <c r="A245" s="97"/>
    </row>
    <row r="246" spans="1:60" x14ac:dyDescent="0.25">
      <c r="A246" s="97"/>
    </row>
    <row r="247" spans="1:60" x14ac:dyDescent="0.25">
      <c r="A247" s="97"/>
    </row>
    <row r="248" spans="1:60" x14ac:dyDescent="0.25">
      <c r="A248" s="97"/>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13" sqref="C13"/>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97"/>
      <c r="B1" s="381" t="s">
        <v>55</v>
      </c>
      <c r="C1" s="381"/>
      <c r="D1" s="381"/>
      <c r="E1" s="97"/>
      <c r="F1" s="97"/>
      <c r="G1" s="97"/>
      <c r="H1" s="97"/>
      <c r="I1" s="97"/>
      <c r="J1" s="97"/>
      <c r="K1" s="97"/>
      <c r="L1" s="97"/>
      <c r="M1" s="97"/>
      <c r="N1" s="97"/>
      <c r="O1" s="97"/>
      <c r="P1" s="97"/>
      <c r="Q1" s="97"/>
      <c r="R1" s="97"/>
      <c r="S1" s="97"/>
      <c r="T1" s="97"/>
      <c r="U1" s="97"/>
      <c r="V1" s="97"/>
      <c r="W1" s="97"/>
      <c r="X1" s="97"/>
      <c r="Y1" s="97"/>
      <c r="Z1" s="97"/>
      <c r="AA1" s="97"/>
      <c r="AB1" s="97"/>
      <c r="AC1" s="97"/>
      <c r="AD1" s="97"/>
      <c r="AE1" s="97"/>
    </row>
    <row r="2" spans="1:37" x14ac:dyDescent="0.2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7" ht="25.5" x14ac:dyDescent="0.25">
      <c r="A3" s="97"/>
      <c r="B3" s="11"/>
      <c r="C3" s="12" t="s">
        <v>52</v>
      </c>
      <c r="D3" s="12" t="s">
        <v>4</v>
      </c>
      <c r="E3" s="97"/>
      <c r="F3" s="97"/>
      <c r="G3" s="97"/>
      <c r="H3" s="97"/>
      <c r="I3" s="97"/>
      <c r="J3" s="97"/>
      <c r="K3" s="97"/>
      <c r="L3" s="97"/>
      <c r="M3" s="97"/>
      <c r="N3" s="97"/>
      <c r="O3" s="97"/>
      <c r="P3" s="97"/>
      <c r="Q3" s="97"/>
      <c r="R3" s="97"/>
      <c r="S3" s="97"/>
      <c r="T3" s="97"/>
      <c r="U3" s="97"/>
      <c r="V3" s="97"/>
      <c r="W3" s="97"/>
      <c r="X3" s="97"/>
      <c r="Y3" s="97"/>
      <c r="Z3" s="97"/>
      <c r="AA3" s="97"/>
      <c r="AB3" s="97"/>
      <c r="AC3" s="97"/>
      <c r="AD3" s="97"/>
      <c r="AE3" s="97"/>
    </row>
    <row r="4" spans="1:37" ht="51" x14ac:dyDescent="0.25">
      <c r="A4" s="97"/>
      <c r="B4" s="13" t="s">
        <v>51</v>
      </c>
      <c r="C4" s="14" t="s">
        <v>102</v>
      </c>
      <c r="D4" s="15">
        <v>0.2</v>
      </c>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7" ht="51" x14ac:dyDescent="0.25">
      <c r="A5" s="97"/>
      <c r="B5" s="16" t="s">
        <v>53</v>
      </c>
      <c r="C5" s="17" t="s">
        <v>103</v>
      </c>
      <c r="D5" s="18">
        <v>0.4</v>
      </c>
      <c r="E5" s="97"/>
      <c r="F5" s="97"/>
      <c r="G5" s="97"/>
      <c r="H5" s="97"/>
      <c r="I5" s="97"/>
      <c r="J5" s="97"/>
      <c r="K5" s="97"/>
      <c r="L5" s="97"/>
      <c r="M5" s="97"/>
      <c r="N5" s="97"/>
      <c r="O5" s="97"/>
      <c r="P5" s="97"/>
      <c r="Q5" s="97"/>
      <c r="R5" s="97"/>
      <c r="S5" s="97"/>
      <c r="T5" s="97"/>
      <c r="U5" s="97"/>
      <c r="V5" s="97"/>
      <c r="W5" s="97"/>
      <c r="X5" s="97"/>
      <c r="Y5" s="97"/>
      <c r="Z5" s="97"/>
      <c r="AA5" s="97"/>
      <c r="AB5" s="97"/>
      <c r="AC5" s="97"/>
      <c r="AD5" s="97"/>
      <c r="AE5" s="97"/>
    </row>
    <row r="6" spans="1:37" ht="51" x14ac:dyDescent="0.25">
      <c r="A6" s="97"/>
      <c r="B6" s="19" t="s">
        <v>107</v>
      </c>
      <c r="C6" s="17" t="s">
        <v>104</v>
      </c>
      <c r="D6" s="18">
        <v>0.6</v>
      </c>
      <c r="E6" s="97"/>
      <c r="F6" s="97"/>
      <c r="G6" s="97"/>
      <c r="H6" s="97"/>
      <c r="I6" s="97"/>
      <c r="J6" s="97"/>
      <c r="K6" s="97"/>
      <c r="L6" s="97"/>
      <c r="M6" s="97"/>
      <c r="N6" s="97"/>
      <c r="O6" s="97"/>
      <c r="P6" s="97"/>
      <c r="Q6" s="97"/>
      <c r="R6" s="97"/>
      <c r="S6" s="97"/>
      <c r="T6" s="97"/>
      <c r="U6" s="97"/>
      <c r="V6" s="97"/>
      <c r="W6" s="97"/>
      <c r="X6" s="97"/>
      <c r="Y6" s="97"/>
      <c r="Z6" s="97"/>
      <c r="AA6" s="97"/>
      <c r="AB6" s="97"/>
      <c r="AC6" s="97"/>
      <c r="AD6" s="97"/>
      <c r="AE6" s="97"/>
    </row>
    <row r="7" spans="1:37" ht="76.5" x14ac:dyDescent="0.25">
      <c r="A7" s="97"/>
      <c r="B7" s="20" t="s">
        <v>6</v>
      </c>
      <c r="C7" s="17" t="s">
        <v>105</v>
      </c>
      <c r="D7" s="18">
        <v>0.8</v>
      </c>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1:37" ht="51" x14ac:dyDescent="0.25">
      <c r="A8" s="97"/>
      <c r="B8" s="21" t="s">
        <v>54</v>
      </c>
      <c r="C8" s="17" t="s">
        <v>106</v>
      </c>
      <c r="D8" s="18">
        <v>1</v>
      </c>
      <c r="E8" s="97"/>
      <c r="F8" s="97"/>
      <c r="G8" s="97"/>
      <c r="H8" s="97"/>
      <c r="I8" s="97"/>
      <c r="J8" s="97"/>
      <c r="K8" s="97"/>
      <c r="L8" s="97"/>
      <c r="M8" s="97"/>
      <c r="N8" s="97"/>
      <c r="O8" s="97"/>
      <c r="P8" s="97"/>
      <c r="Q8" s="97"/>
      <c r="R8" s="97"/>
      <c r="S8" s="97"/>
      <c r="T8" s="97"/>
      <c r="U8" s="97"/>
      <c r="V8" s="97"/>
      <c r="W8" s="97"/>
      <c r="X8" s="97"/>
      <c r="Y8" s="97"/>
      <c r="Z8" s="97"/>
      <c r="AA8" s="97"/>
      <c r="AB8" s="97"/>
      <c r="AC8" s="97"/>
      <c r="AD8" s="97"/>
      <c r="AE8" s="97"/>
    </row>
    <row r="9" spans="1:37" x14ac:dyDescent="0.25">
      <c r="A9" s="97"/>
      <c r="B9" s="121"/>
      <c r="C9" s="121"/>
      <c r="D9" s="121"/>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row>
    <row r="10" spans="1:37" ht="16.5" x14ac:dyDescent="0.25">
      <c r="A10" s="97"/>
      <c r="B10" s="122"/>
      <c r="C10" s="121"/>
      <c r="D10" s="121"/>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row>
    <row r="11" spans="1:37" x14ac:dyDescent="0.25">
      <c r="A11" s="97"/>
      <c r="B11" s="121"/>
      <c r="C11" s="121"/>
      <c r="D11" s="121"/>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row>
    <row r="12" spans="1:37" x14ac:dyDescent="0.25">
      <c r="A12" s="97"/>
      <c r="B12" s="121"/>
      <c r="C12" s="121"/>
      <c r="D12" s="121"/>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x14ac:dyDescent="0.25">
      <c r="A13" s="97"/>
      <c r="B13" s="121"/>
      <c r="C13" s="121"/>
      <c r="D13" s="121"/>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row>
    <row r="14" spans="1:37" x14ac:dyDescent="0.25">
      <c r="A14" s="97"/>
      <c r="B14" s="121"/>
      <c r="C14" s="121"/>
      <c r="D14" s="121"/>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row>
    <row r="15" spans="1:37" x14ac:dyDescent="0.25">
      <c r="A15" s="97"/>
      <c r="B15" s="121"/>
      <c r="C15" s="121"/>
      <c r="D15" s="121"/>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x14ac:dyDescent="0.25">
      <c r="A16" s="97"/>
      <c r="B16" s="121"/>
      <c r="C16" s="121"/>
      <c r="D16" s="121"/>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37" x14ac:dyDescent="0.25">
      <c r="A17" s="97"/>
      <c r="B17" s="121"/>
      <c r="C17" s="121"/>
      <c r="D17" s="121"/>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x14ac:dyDescent="0.25">
      <c r="A18" s="97"/>
      <c r="B18" s="121"/>
      <c r="C18" s="121"/>
      <c r="D18" s="121"/>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1:37" x14ac:dyDescent="0.25">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row>
    <row r="20" spans="1:37" x14ac:dyDescent="0.2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row>
    <row r="21" spans="1:37" x14ac:dyDescent="0.2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row>
    <row r="22" spans="1:37" x14ac:dyDescent="0.25">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row>
    <row r="23" spans="1:37" x14ac:dyDescent="0.25">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row>
    <row r="24" spans="1:37" x14ac:dyDescent="0.2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row>
    <row r="25" spans="1:37" x14ac:dyDescent="0.2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row>
    <row r="26" spans="1:37" x14ac:dyDescent="0.2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row>
    <row r="27" spans="1:37" x14ac:dyDescent="0.2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row>
    <row r="28" spans="1:37" x14ac:dyDescent="0.2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row>
    <row r="29" spans="1:37" x14ac:dyDescent="0.25">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row>
    <row r="30" spans="1:37" x14ac:dyDescent="0.25">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row>
    <row r="31" spans="1:37" x14ac:dyDescent="0.25">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row>
    <row r="32" spans="1:37" x14ac:dyDescent="0.2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row>
    <row r="33" spans="1:31" x14ac:dyDescent="0.25">
      <c r="A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row>
    <row r="34" spans="1:31" x14ac:dyDescent="0.25">
      <c r="A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row>
    <row r="35" spans="1:31" x14ac:dyDescent="0.25">
      <c r="A35" s="97"/>
    </row>
    <row r="36" spans="1:31" x14ac:dyDescent="0.25">
      <c r="A36" s="97"/>
    </row>
    <row r="37" spans="1:31" x14ac:dyDescent="0.25">
      <c r="A37" s="97"/>
    </row>
    <row r="38" spans="1:31" x14ac:dyDescent="0.25">
      <c r="A38" s="97"/>
    </row>
    <row r="39" spans="1:31" x14ac:dyDescent="0.25">
      <c r="A39" s="97"/>
    </row>
    <row r="40" spans="1:31" x14ac:dyDescent="0.25">
      <c r="A40" s="97"/>
    </row>
    <row r="41" spans="1:31" x14ac:dyDescent="0.25">
      <c r="A41" s="97"/>
    </row>
    <row r="42" spans="1:31" x14ac:dyDescent="0.25">
      <c r="A42" s="97"/>
    </row>
    <row r="43" spans="1:31" x14ac:dyDescent="0.25">
      <c r="A43" s="97"/>
    </row>
    <row r="44" spans="1:31" x14ac:dyDescent="0.25">
      <c r="A44" s="97"/>
    </row>
    <row r="45" spans="1:31" x14ac:dyDescent="0.25">
      <c r="A45" s="97"/>
    </row>
    <row r="46" spans="1:31" x14ac:dyDescent="0.25">
      <c r="A46" s="97"/>
    </row>
    <row r="47" spans="1:31" x14ac:dyDescent="0.25">
      <c r="A47" s="97"/>
    </row>
    <row r="48" spans="1:31" x14ac:dyDescent="0.25">
      <c r="A48" s="97"/>
    </row>
    <row r="49" spans="1:1" x14ac:dyDescent="0.25">
      <c r="A49" s="97"/>
    </row>
    <row r="50" spans="1:1" x14ac:dyDescent="0.25">
      <c r="A50" s="97"/>
    </row>
    <row r="51" spans="1:1" x14ac:dyDescent="0.25">
      <c r="A51" s="97"/>
    </row>
    <row r="52" spans="1:1" x14ac:dyDescent="0.25">
      <c r="A52" s="97"/>
    </row>
    <row r="53" spans="1:1" x14ac:dyDescent="0.25">
      <c r="A53" s="97"/>
    </row>
    <row r="54" spans="1:1" x14ac:dyDescent="0.25">
      <c r="A54" s="97"/>
    </row>
    <row r="55" spans="1:1" x14ac:dyDescent="0.25">
      <c r="A55" s="97"/>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97"/>
      <c r="B1" s="382" t="s">
        <v>63</v>
      </c>
      <c r="C1" s="382"/>
      <c r="D1" s="382"/>
      <c r="E1" s="97"/>
      <c r="F1" s="97"/>
      <c r="G1" s="97"/>
      <c r="H1" s="97"/>
      <c r="I1" s="97"/>
      <c r="J1" s="97"/>
      <c r="K1" s="97"/>
      <c r="L1" s="97"/>
      <c r="M1" s="97"/>
      <c r="N1" s="97"/>
      <c r="O1" s="97"/>
      <c r="P1" s="97"/>
      <c r="Q1" s="97"/>
      <c r="R1" s="97"/>
      <c r="S1" s="97"/>
      <c r="T1" s="97"/>
      <c r="U1" s="97"/>
    </row>
    <row r="2" spans="1:21" x14ac:dyDescent="0.25">
      <c r="A2" s="97"/>
      <c r="B2" s="97"/>
      <c r="C2" s="97"/>
      <c r="D2" s="97"/>
      <c r="E2" s="97"/>
      <c r="F2" s="97"/>
      <c r="G2" s="97"/>
      <c r="H2" s="97"/>
      <c r="I2" s="97"/>
      <c r="J2" s="97"/>
      <c r="K2" s="97"/>
      <c r="L2" s="97"/>
      <c r="M2" s="97"/>
      <c r="N2" s="97"/>
      <c r="O2" s="97"/>
      <c r="P2" s="97"/>
      <c r="Q2" s="97"/>
      <c r="R2" s="97"/>
      <c r="S2" s="97"/>
      <c r="T2" s="97"/>
      <c r="U2" s="97"/>
    </row>
    <row r="3" spans="1:21" ht="30" x14ac:dyDescent="0.25">
      <c r="A3" s="97"/>
      <c r="B3" s="118"/>
      <c r="C3" s="38" t="s">
        <v>56</v>
      </c>
      <c r="D3" s="38" t="s">
        <v>57</v>
      </c>
      <c r="E3" s="97"/>
      <c r="F3" s="97"/>
      <c r="G3" s="97"/>
      <c r="H3" s="97"/>
      <c r="I3" s="97"/>
      <c r="J3" s="97"/>
      <c r="K3" s="97"/>
      <c r="L3" s="97"/>
      <c r="M3" s="97"/>
      <c r="N3" s="97"/>
      <c r="O3" s="97"/>
      <c r="P3" s="97"/>
      <c r="Q3" s="97"/>
      <c r="R3" s="97"/>
      <c r="S3" s="97"/>
      <c r="T3" s="97"/>
      <c r="U3" s="97"/>
    </row>
    <row r="4" spans="1:21" ht="33.75" x14ac:dyDescent="0.25">
      <c r="A4" s="117" t="s">
        <v>83</v>
      </c>
      <c r="B4" s="41" t="s">
        <v>101</v>
      </c>
      <c r="C4" s="46" t="s">
        <v>158</v>
      </c>
      <c r="D4" s="39" t="s">
        <v>97</v>
      </c>
      <c r="E4" s="97"/>
      <c r="F4" s="97"/>
      <c r="G4" s="97"/>
      <c r="H4" s="97"/>
      <c r="I4" s="97"/>
      <c r="J4" s="97"/>
      <c r="K4" s="97"/>
      <c r="L4" s="97"/>
      <c r="M4" s="97"/>
      <c r="N4" s="97"/>
      <c r="O4" s="97"/>
      <c r="P4" s="97"/>
      <c r="Q4" s="97"/>
      <c r="R4" s="97"/>
      <c r="S4" s="97"/>
      <c r="T4" s="97"/>
      <c r="U4" s="97"/>
    </row>
    <row r="5" spans="1:21" ht="67.5" x14ac:dyDescent="0.25">
      <c r="A5" s="117" t="s">
        <v>84</v>
      </c>
      <c r="B5" s="42" t="s">
        <v>59</v>
      </c>
      <c r="C5" s="47" t="s">
        <v>93</v>
      </c>
      <c r="D5" s="40" t="s">
        <v>98</v>
      </c>
      <c r="E5" s="97"/>
      <c r="F5" s="97"/>
      <c r="G5" s="97"/>
      <c r="H5" s="97"/>
      <c r="I5" s="97"/>
      <c r="J5" s="97"/>
      <c r="K5" s="97"/>
      <c r="L5" s="97"/>
      <c r="M5" s="97"/>
      <c r="N5" s="97"/>
      <c r="O5" s="97"/>
      <c r="P5" s="97"/>
      <c r="Q5" s="97"/>
      <c r="R5" s="97"/>
      <c r="S5" s="97"/>
      <c r="T5" s="97"/>
      <c r="U5" s="97"/>
    </row>
    <row r="6" spans="1:21" ht="67.5" x14ac:dyDescent="0.25">
      <c r="A6" s="117" t="s">
        <v>81</v>
      </c>
      <c r="B6" s="43" t="s">
        <v>60</v>
      </c>
      <c r="C6" s="47" t="s">
        <v>94</v>
      </c>
      <c r="D6" s="40" t="s">
        <v>100</v>
      </c>
      <c r="E6" s="97"/>
      <c r="F6" s="97"/>
      <c r="G6" s="97"/>
      <c r="H6" s="97"/>
      <c r="I6" s="97"/>
      <c r="J6" s="97"/>
      <c r="K6" s="97"/>
      <c r="L6" s="97"/>
      <c r="M6" s="97"/>
      <c r="N6" s="97"/>
      <c r="O6" s="97"/>
      <c r="P6" s="97"/>
      <c r="Q6" s="97"/>
      <c r="R6" s="97"/>
      <c r="S6" s="97"/>
      <c r="T6" s="97"/>
      <c r="U6" s="97"/>
    </row>
    <row r="7" spans="1:21" ht="101.25" x14ac:dyDescent="0.25">
      <c r="A7" s="117" t="s">
        <v>7</v>
      </c>
      <c r="B7" s="44" t="s">
        <v>61</v>
      </c>
      <c r="C7" s="47" t="s">
        <v>95</v>
      </c>
      <c r="D7" s="40" t="s">
        <v>99</v>
      </c>
      <c r="E7" s="97"/>
      <c r="F7" s="97"/>
      <c r="G7" s="97"/>
      <c r="H7" s="97"/>
      <c r="I7" s="97"/>
      <c r="J7" s="97"/>
      <c r="K7" s="97"/>
      <c r="L7" s="97"/>
      <c r="M7" s="97"/>
      <c r="N7" s="97"/>
      <c r="O7" s="97"/>
      <c r="P7" s="97"/>
      <c r="Q7" s="97"/>
      <c r="R7" s="97"/>
      <c r="S7" s="97"/>
      <c r="T7" s="97"/>
      <c r="U7" s="97"/>
    </row>
    <row r="8" spans="1:21" ht="67.5" x14ac:dyDescent="0.25">
      <c r="A8" s="117" t="s">
        <v>85</v>
      </c>
      <c r="B8" s="45" t="s">
        <v>62</v>
      </c>
      <c r="C8" s="47" t="s">
        <v>96</v>
      </c>
      <c r="D8" s="40" t="s">
        <v>118</v>
      </c>
      <c r="E8" s="97"/>
      <c r="F8" s="97"/>
      <c r="G8" s="97"/>
      <c r="H8" s="97"/>
      <c r="I8" s="97"/>
      <c r="J8" s="97"/>
      <c r="K8" s="97"/>
      <c r="L8" s="97"/>
      <c r="M8" s="97"/>
      <c r="N8" s="97"/>
      <c r="O8" s="97"/>
      <c r="P8" s="97"/>
      <c r="Q8" s="97"/>
      <c r="R8" s="97"/>
      <c r="S8" s="97"/>
      <c r="T8" s="97"/>
      <c r="U8" s="97"/>
    </row>
    <row r="9" spans="1:21" ht="20.25" x14ac:dyDescent="0.25">
      <c r="A9" s="117"/>
      <c r="B9" s="117"/>
      <c r="C9" s="119"/>
      <c r="D9" s="119"/>
      <c r="E9" s="97"/>
      <c r="F9" s="97"/>
      <c r="G9" s="97"/>
      <c r="H9" s="97"/>
      <c r="I9" s="97"/>
      <c r="J9" s="97"/>
      <c r="K9" s="97"/>
      <c r="L9" s="97"/>
      <c r="M9" s="97"/>
      <c r="N9" s="97"/>
      <c r="O9" s="97"/>
      <c r="P9" s="97"/>
      <c r="Q9" s="97"/>
      <c r="R9" s="97"/>
      <c r="S9" s="97"/>
      <c r="T9" s="97"/>
      <c r="U9" s="97"/>
    </row>
    <row r="10" spans="1:21" ht="16.5" x14ac:dyDescent="0.25">
      <c r="A10" s="117"/>
      <c r="B10" s="120"/>
      <c r="C10" s="120"/>
      <c r="D10" s="120"/>
      <c r="E10" s="97"/>
      <c r="F10" s="97"/>
      <c r="G10" s="97"/>
      <c r="H10" s="97"/>
      <c r="I10" s="97"/>
      <c r="J10" s="97"/>
      <c r="K10" s="97"/>
      <c r="L10" s="97"/>
      <c r="M10" s="97"/>
      <c r="N10" s="97"/>
      <c r="O10" s="97"/>
      <c r="P10" s="97"/>
      <c r="Q10" s="97"/>
      <c r="R10" s="97"/>
      <c r="S10" s="97"/>
      <c r="T10" s="97"/>
      <c r="U10" s="97"/>
    </row>
    <row r="11" spans="1:21" x14ac:dyDescent="0.25">
      <c r="A11" s="117"/>
      <c r="B11" s="117" t="s">
        <v>91</v>
      </c>
      <c r="C11" s="117" t="s">
        <v>146</v>
      </c>
      <c r="D11" s="117" t="s">
        <v>153</v>
      </c>
      <c r="E11" s="97"/>
      <c r="F11" s="97"/>
      <c r="G11" s="97"/>
      <c r="H11" s="97"/>
      <c r="I11" s="97"/>
      <c r="J11" s="97"/>
      <c r="K11" s="97"/>
      <c r="L11" s="97"/>
      <c r="M11" s="97"/>
      <c r="N11" s="97"/>
      <c r="O11" s="97"/>
      <c r="P11" s="97"/>
      <c r="Q11" s="97"/>
      <c r="R11" s="97"/>
      <c r="S11" s="97"/>
      <c r="T11" s="97"/>
      <c r="U11" s="97"/>
    </row>
    <row r="12" spans="1:21" x14ac:dyDescent="0.25">
      <c r="A12" s="117"/>
      <c r="B12" s="117" t="s">
        <v>89</v>
      </c>
      <c r="C12" s="117" t="s">
        <v>150</v>
      </c>
      <c r="D12" s="117" t="s">
        <v>154</v>
      </c>
      <c r="E12" s="97"/>
      <c r="F12" s="97"/>
      <c r="G12" s="97"/>
      <c r="H12" s="97"/>
      <c r="I12" s="97"/>
      <c r="J12" s="97"/>
      <c r="K12" s="97"/>
      <c r="L12" s="97"/>
      <c r="M12" s="97"/>
      <c r="N12" s="97"/>
      <c r="O12" s="97"/>
      <c r="P12" s="97"/>
      <c r="Q12" s="97"/>
      <c r="R12" s="97"/>
      <c r="S12" s="97"/>
      <c r="T12" s="97"/>
      <c r="U12" s="97"/>
    </row>
    <row r="13" spans="1:21" x14ac:dyDescent="0.25">
      <c r="A13" s="117"/>
      <c r="B13" s="117"/>
      <c r="C13" s="117" t="s">
        <v>149</v>
      </c>
      <c r="D13" s="117" t="s">
        <v>155</v>
      </c>
      <c r="E13" s="97"/>
      <c r="F13" s="97"/>
      <c r="G13" s="97"/>
      <c r="H13" s="97"/>
      <c r="I13" s="97"/>
      <c r="J13" s="97"/>
      <c r="K13" s="97"/>
      <c r="L13" s="97"/>
      <c r="M13" s="97"/>
      <c r="N13" s="97"/>
      <c r="O13" s="97"/>
      <c r="P13" s="97"/>
      <c r="Q13" s="97"/>
      <c r="R13" s="97"/>
      <c r="S13" s="97"/>
      <c r="T13" s="97"/>
      <c r="U13" s="97"/>
    </row>
    <row r="14" spans="1:21" x14ac:dyDescent="0.25">
      <c r="A14" s="117"/>
      <c r="B14" s="117"/>
      <c r="C14" s="117" t="s">
        <v>151</v>
      </c>
      <c r="D14" s="117" t="s">
        <v>156</v>
      </c>
      <c r="E14" s="97"/>
      <c r="F14" s="97"/>
      <c r="G14" s="97"/>
      <c r="H14" s="97"/>
      <c r="I14" s="97"/>
      <c r="J14" s="97"/>
      <c r="K14" s="97"/>
      <c r="L14" s="97"/>
      <c r="M14" s="97"/>
      <c r="N14" s="97"/>
      <c r="O14" s="97"/>
      <c r="P14" s="97"/>
      <c r="Q14" s="97"/>
      <c r="R14" s="97"/>
      <c r="S14" s="97"/>
      <c r="T14" s="97"/>
      <c r="U14" s="97"/>
    </row>
    <row r="15" spans="1:21" x14ac:dyDescent="0.25">
      <c r="A15" s="117"/>
      <c r="B15" s="117"/>
      <c r="C15" s="117" t="s">
        <v>152</v>
      </c>
      <c r="D15" s="117" t="s">
        <v>157</v>
      </c>
      <c r="E15" s="97"/>
      <c r="F15" s="97"/>
      <c r="G15" s="97"/>
      <c r="H15" s="97"/>
      <c r="I15" s="97"/>
      <c r="J15" s="97"/>
      <c r="K15" s="97"/>
      <c r="L15" s="97"/>
      <c r="M15" s="97"/>
      <c r="N15" s="97"/>
      <c r="O15" s="97"/>
      <c r="P15" s="97"/>
      <c r="Q15" s="97"/>
      <c r="R15" s="97"/>
      <c r="S15" s="97"/>
      <c r="T15" s="97"/>
      <c r="U15" s="97"/>
    </row>
    <row r="16" spans="1:21" x14ac:dyDescent="0.25">
      <c r="A16" s="117"/>
      <c r="B16" s="117"/>
      <c r="C16" s="117"/>
      <c r="D16" s="117"/>
      <c r="E16" s="97"/>
      <c r="F16" s="97"/>
      <c r="G16" s="97"/>
      <c r="H16" s="97"/>
      <c r="I16" s="97"/>
      <c r="J16" s="97"/>
      <c r="K16" s="97"/>
      <c r="L16" s="97"/>
      <c r="M16" s="97"/>
      <c r="N16" s="97"/>
      <c r="O16" s="97"/>
    </row>
    <row r="17" spans="1:15" x14ac:dyDescent="0.25">
      <c r="A17" s="117"/>
      <c r="B17" s="117"/>
      <c r="C17" s="117"/>
      <c r="D17" s="117"/>
      <c r="E17" s="97"/>
      <c r="F17" s="97"/>
      <c r="G17" s="97"/>
      <c r="H17" s="97"/>
      <c r="I17" s="97"/>
      <c r="J17" s="97"/>
      <c r="K17" s="97"/>
      <c r="L17" s="97"/>
      <c r="M17" s="97"/>
      <c r="N17" s="97"/>
      <c r="O17" s="97"/>
    </row>
    <row r="18" spans="1:15" x14ac:dyDescent="0.25">
      <c r="A18" s="117"/>
      <c r="B18" s="121"/>
      <c r="C18" s="121"/>
      <c r="D18" s="121"/>
      <c r="E18" s="97"/>
      <c r="F18" s="97"/>
      <c r="G18" s="97"/>
      <c r="H18" s="97"/>
      <c r="I18" s="97"/>
      <c r="J18" s="97"/>
      <c r="K18" s="97"/>
      <c r="L18" s="97"/>
      <c r="M18" s="97"/>
      <c r="N18" s="97"/>
      <c r="O18" s="97"/>
    </row>
    <row r="19" spans="1:15" x14ac:dyDescent="0.25">
      <c r="A19" s="117"/>
      <c r="B19" s="121"/>
      <c r="C19" s="121"/>
      <c r="D19" s="121"/>
      <c r="E19" s="97"/>
      <c r="F19" s="97"/>
      <c r="G19" s="97"/>
      <c r="H19" s="97"/>
      <c r="I19" s="97"/>
      <c r="J19" s="97"/>
      <c r="K19" s="97"/>
      <c r="L19" s="97"/>
      <c r="M19" s="97"/>
      <c r="N19" s="97"/>
      <c r="O19" s="97"/>
    </row>
    <row r="20" spans="1:15" x14ac:dyDescent="0.25">
      <c r="A20" s="117"/>
      <c r="B20" s="121"/>
      <c r="C20" s="121"/>
      <c r="D20" s="121"/>
      <c r="E20" s="97"/>
      <c r="F20" s="97"/>
      <c r="G20" s="97"/>
      <c r="H20" s="97"/>
      <c r="I20" s="97"/>
      <c r="J20" s="97"/>
      <c r="K20" s="97"/>
      <c r="L20" s="97"/>
      <c r="M20" s="97"/>
      <c r="N20" s="97"/>
      <c r="O20" s="97"/>
    </row>
    <row r="21" spans="1:15" x14ac:dyDescent="0.25">
      <c r="A21" s="117"/>
      <c r="B21" s="121"/>
      <c r="C21" s="121"/>
      <c r="D21" s="121"/>
      <c r="E21" s="97"/>
      <c r="F21" s="97"/>
      <c r="G21" s="97"/>
      <c r="H21" s="97"/>
      <c r="I21" s="97"/>
      <c r="J21" s="97"/>
      <c r="K21" s="97"/>
      <c r="L21" s="97"/>
      <c r="M21" s="97"/>
      <c r="N21" s="97"/>
      <c r="O21" s="97"/>
    </row>
    <row r="22" spans="1:15" ht="20.25" x14ac:dyDescent="0.25">
      <c r="A22" s="117"/>
      <c r="B22" s="117"/>
      <c r="C22" s="119"/>
      <c r="D22" s="119"/>
      <c r="E22" s="97"/>
      <c r="F22" s="97"/>
      <c r="G22" s="97"/>
      <c r="H22" s="97"/>
      <c r="I22" s="97"/>
      <c r="J22" s="97"/>
      <c r="K22" s="97"/>
      <c r="L22" s="97"/>
      <c r="M22" s="97"/>
      <c r="N22" s="97"/>
      <c r="O22" s="97"/>
    </row>
    <row r="23" spans="1:15" ht="20.25" x14ac:dyDescent="0.25">
      <c r="A23" s="117"/>
      <c r="B23" s="117"/>
      <c r="C23" s="119"/>
      <c r="D23" s="119"/>
      <c r="E23" s="97"/>
      <c r="F23" s="97"/>
      <c r="G23" s="97"/>
      <c r="H23" s="97"/>
      <c r="I23" s="97"/>
      <c r="J23" s="97"/>
      <c r="K23" s="97"/>
      <c r="L23" s="97"/>
      <c r="M23" s="97"/>
      <c r="N23" s="97"/>
      <c r="O23" s="97"/>
    </row>
    <row r="24" spans="1:15" ht="20.25" x14ac:dyDescent="0.25">
      <c r="A24" s="117"/>
      <c r="B24" s="117"/>
      <c r="C24" s="119"/>
      <c r="D24" s="119"/>
      <c r="E24" s="97"/>
      <c r="F24" s="97"/>
      <c r="G24" s="97"/>
      <c r="H24" s="97"/>
      <c r="I24" s="97"/>
      <c r="J24" s="97"/>
      <c r="K24" s="97"/>
      <c r="L24" s="97"/>
      <c r="M24" s="97"/>
      <c r="N24" s="97"/>
      <c r="O24" s="97"/>
    </row>
    <row r="25" spans="1:15" ht="20.25" x14ac:dyDescent="0.25">
      <c r="A25" s="117"/>
      <c r="B25" s="117"/>
      <c r="C25" s="119"/>
      <c r="D25" s="119"/>
      <c r="E25" s="97"/>
      <c r="F25" s="97"/>
      <c r="G25" s="97"/>
      <c r="H25" s="97"/>
      <c r="I25" s="97"/>
      <c r="J25" s="97"/>
      <c r="K25" s="97"/>
      <c r="L25" s="97"/>
      <c r="M25" s="97"/>
      <c r="N25" s="97"/>
      <c r="O25" s="97"/>
    </row>
    <row r="26" spans="1:15" ht="20.25" x14ac:dyDescent="0.25">
      <c r="A26" s="117"/>
      <c r="B26" s="117"/>
      <c r="C26" s="119"/>
      <c r="D26" s="119"/>
      <c r="E26" s="97"/>
      <c r="F26" s="97"/>
      <c r="G26" s="97"/>
      <c r="H26" s="97"/>
      <c r="I26" s="97"/>
      <c r="J26" s="97"/>
      <c r="K26" s="97"/>
      <c r="L26" s="97"/>
      <c r="M26" s="97"/>
      <c r="N26" s="97"/>
      <c r="O26" s="97"/>
    </row>
    <row r="27" spans="1:15" ht="20.25" x14ac:dyDescent="0.25">
      <c r="A27" s="117"/>
      <c r="B27" s="117"/>
      <c r="C27" s="119"/>
      <c r="D27" s="119"/>
      <c r="E27" s="97"/>
      <c r="F27" s="97"/>
      <c r="G27" s="97"/>
      <c r="H27" s="97"/>
      <c r="I27" s="97"/>
      <c r="J27" s="97"/>
      <c r="K27" s="97"/>
      <c r="L27" s="97"/>
      <c r="M27" s="97"/>
      <c r="N27" s="97"/>
      <c r="O27" s="97"/>
    </row>
    <row r="28" spans="1:15" ht="20.25" x14ac:dyDescent="0.25">
      <c r="A28" s="117"/>
      <c r="B28" s="117"/>
      <c r="C28" s="119"/>
      <c r="D28" s="119"/>
      <c r="E28" s="97"/>
      <c r="F28" s="97"/>
      <c r="G28" s="97"/>
      <c r="H28" s="97"/>
      <c r="I28" s="97"/>
      <c r="J28" s="97"/>
      <c r="K28" s="97"/>
      <c r="L28" s="97"/>
      <c r="M28" s="97"/>
      <c r="N28" s="97"/>
      <c r="O28" s="97"/>
    </row>
    <row r="29" spans="1:15" ht="20.25" x14ac:dyDescent="0.25">
      <c r="A29" s="117"/>
      <c r="B29" s="117"/>
      <c r="C29" s="119"/>
      <c r="D29" s="119"/>
      <c r="E29" s="97"/>
      <c r="F29" s="97"/>
      <c r="G29" s="97"/>
      <c r="H29" s="97"/>
      <c r="I29" s="97"/>
      <c r="J29" s="97"/>
      <c r="K29" s="97"/>
      <c r="L29" s="97"/>
      <c r="M29" s="97"/>
      <c r="N29" s="97"/>
      <c r="O29" s="97"/>
    </row>
    <row r="30" spans="1:15" ht="20.25" x14ac:dyDescent="0.25">
      <c r="A30" s="117"/>
      <c r="B30" s="117"/>
      <c r="C30" s="119"/>
      <c r="D30" s="119"/>
      <c r="E30" s="97"/>
      <c r="F30" s="97"/>
      <c r="G30" s="97"/>
      <c r="H30" s="97"/>
      <c r="I30" s="97"/>
      <c r="J30" s="97"/>
      <c r="K30" s="97"/>
      <c r="L30" s="97"/>
      <c r="M30" s="97"/>
      <c r="N30" s="97"/>
      <c r="O30" s="97"/>
    </row>
    <row r="31" spans="1:15" ht="20.25" x14ac:dyDescent="0.25">
      <c r="A31" s="117"/>
      <c r="B31" s="117"/>
      <c r="C31" s="119"/>
      <c r="D31" s="119"/>
      <c r="E31" s="97"/>
      <c r="F31" s="97"/>
      <c r="G31" s="97"/>
      <c r="H31" s="97"/>
      <c r="I31" s="97"/>
      <c r="J31" s="97"/>
      <c r="K31" s="97"/>
      <c r="L31" s="97"/>
      <c r="M31" s="97"/>
      <c r="N31" s="97"/>
      <c r="O31" s="97"/>
    </row>
    <row r="32" spans="1:15" ht="20.25" x14ac:dyDescent="0.25">
      <c r="A32" s="117"/>
      <c r="B32" s="117"/>
      <c r="C32" s="119"/>
      <c r="D32" s="119"/>
      <c r="E32" s="97"/>
      <c r="F32" s="97"/>
      <c r="G32" s="97"/>
      <c r="H32" s="97"/>
      <c r="I32" s="97"/>
      <c r="J32" s="97"/>
      <c r="K32" s="97"/>
      <c r="L32" s="97"/>
      <c r="M32" s="97"/>
      <c r="N32" s="97"/>
      <c r="O32" s="97"/>
    </row>
    <row r="33" spans="1:15" ht="20.25" x14ac:dyDescent="0.25">
      <c r="A33" s="117"/>
      <c r="B33" s="117"/>
      <c r="C33" s="119"/>
      <c r="D33" s="119"/>
      <c r="E33" s="97"/>
      <c r="F33" s="97"/>
      <c r="G33" s="97"/>
      <c r="H33" s="97"/>
      <c r="I33" s="97"/>
      <c r="J33" s="97"/>
      <c r="K33" s="97"/>
      <c r="L33" s="97"/>
      <c r="M33" s="97"/>
      <c r="N33" s="97"/>
      <c r="O33" s="97"/>
    </row>
    <row r="34" spans="1:15" ht="20.25" x14ac:dyDescent="0.25">
      <c r="A34" s="117"/>
      <c r="B34" s="117"/>
      <c r="C34" s="119"/>
      <c r="D34" s="119"/>
      <c r="E34" s="97"/>
      <c r="F34" s="97"/>
      <c r="G34" s="97"/>
      <c r="H34" s="97"/>
      <c r="I34" s="97"/>
      <c r="J34" s="97"/>
      <c r="K34" s="97"/>
      <c r="L34" s="97"/>
      <c r="M34" s="97"/>
      <c r="N34" s="97"/>
      <c r="O34" s="97"/>
    </row>
    <row r="35" spans="1:15" ht="20.25" x14ac:dyDescent="0.25">
      <c r="A35" s="117"/>
      <c r="B35" s="117"/>
      <c r="C35" s="119"/>
      <c r="D35" s="119"/>
      <c r="E35" s="97"/>
      <c r="F35" s="97"/>
      <c r="G35" s="97"/>
      <c r="H35" s="97"/>
      <c r="I35" s="97"/>
      <c r="J35" s="97"/>
      <c r="K35" s="97"/>
      <c r="L35" s="97"/>
      <c r="M35" s="97"/>
      <c r="N35" s="97"/>
      <c r="O35" s="97"/>
    </row>
    <row r="36" spans="1:15" ht="20.25" x14ac:dyDescent="0.25">
      <c r="A36" s="117"/>
      <c r="B36" s="117"/>
      <c r="C36" s="119"/>
      <c r="D36" s="119"/>
      <c r="E36" s="97"/>
      <c r="F36" s="97"/>
      <c r="G36" s="97"/>
      <c r="H36" s="97"/>
      <c r="I36" s="97"/>
      <c r="J36" s="97"/>
      <c r="K36" s="97"/>
      <c r="L36" s="97"/>
      <c r="M36" s="97"/>
      <c r="N36" s="97"/>
      <c r="O36" s="97"/>
    </row>
    <row r="37" spans="1:15" ht="20.25" x14ac:dyDescent="0.25">
      <c r="A37" s="117"/>
      <c r="B37" s="117"/>
      <c r="C37" s="119"/>
      <c r="D37" s="119"/>
      <c r="E37" s="97"/>
      <c r="F37" s="97"/>
      <c r="G37" s="97"/>
      <c r="H37" s="97"/>
      <c r="I37" s="97"/>
      <c r="J37" s="97"/>
      <c r="K37" s="97"/>
      <c r="L37" s="97"/>
      <c r="M37" s="97"/>
      <c r="N37" s="97"/>
      <c r="O37" s="97"/>
    </row>
    <row r="38" spans="1:15" ht="20.25" x14ac:dyDescent="0.25">
      <c r="A38" s="117"/>
      <c r="B38" s="117"/>
      <c r="C38" s="119"/>
      <c r="D38" s="119"/>
      <c r="E38" s="97"/>
      <c r="F38" s="97"/>
      <c r="G38" s="97"/>
      <c r="H38" s="97"/>
      <c r="I38" s="97"/>
      <c r="J38" s="97"/>
      <c r="K38" s="97"/>
      <c r="L38" s="97"/>
      <c r="M38" s="97"/>
      <c r="N38" s="97"/>
      <c r="O38" s="97"/>
    </row>
    <row r="39" spans="1:15" ht="20.25" x14ac:dyDescent="0.25">
      <c r="A39" s="117"/>
      <c r="B39" s="117"/>
      <c r="C39" s="119"/>
      <c r="D39" s="119"/>
      <c r="E39" s="97"/>
      <c r="F39" s="97"/>
      <c r="G39" s="97"/>
      <c r="H39" s="97"/>
      <c r="I39" s="97"/>
      <c r="J39" s="97"/>
      <c r="K39" s="97"/>
      <c r="L39" s="97"/>
      <c r="M39" s="97"/>
      <c r="N39" s="97"/>
      <c r="O39" s="97"/>
    </row>
    <row r="40" spans="1:15" ht="20.25" x14ac:dyDescent="0.25">
      <c r="A40" s="117"/>
      <c r="B40" s="117"/>
      <c r="C40" s="119"/>
      <c r="D40" s="119"/>
      <c r="E40" s="97"/>
      <c r="F40" s="97"/>
      <c r="G40" s="97"/>
      <c r="H40" s="97"/>
      <c r="I40" s="97"/>
      <c r="J40" s="97"/>
      <c r="K40" s="97"/>
      <c r="L40" s="97"/>
      <c r="M40" s="97"/>
      <c r="N40" s="97"/>
      <c r="O40" s="97"/>
    </row>
    <row r="41" spans="1:15" ht="20.25" x14ac:dyDescent="0.25">
      <c r="A41" s="117"/>
      <c r="B41" s="117"/>
      <c r="C41" s="119"/>
      <c r="D41" s="119"/>
      <c r="E41" s="97"/>
      <c r="F41" s="97"/>
      <c r="G41" s="97"/>
      <c r="H41" s="97"/>
      <c r="I41" s="97"/>
      <c r="J41" s="97"/>
      <c r="K41" s="97"/>
      <c r="L41" s="97"/>
      <c r="M41" s="97"/>
      <c r="N41" s="97"/>
      <c r="O41" s="97"/>
    </row>
    <row r="42" spans="1:15" ht="20.25" x14ac:dyDescent="0.25">
      <c r="A42" s="117"/>
      <c r="B42" s="117"/>
      <c r="C42" s="119"/>
      <c r="D42" s="119"/>
      <c r="E42" s="97"/>
      <c r="F42" s="97"/>
      <c r="G42" s="97"/>
      <c r="H42" s="97"/>
      <c r="I42" s="97"/>
      <c r="J42" s="97"/>
      <c r="K42" s="97"/>
      <c r="L42" s="97"/>
      <c r="M42" s="97"/>
      <c r="N42" s="97"/>
      <c r="O42" s="97"/>
    </row>
    <row r="43" spans="1:15" ht="20.25" x14ac:dyDescent="0.25">
      <c r="A43" s="117"/>
      <c r="B43" s="117"/>
      <c r="C43" s="119"/>
      <c r="D43" s="119"/>
      <c r="E43" s="97"/>
      <c r="F43" s="97"/>
      <c r="G43" s="97"/>
      <c r="H43" s="97"/>
      <c r="I43" s="97"/>
      <c r="J43" s="97"/>
      <c r="K43" s="97"/>
      <c r="L43" s="97"/>
      <c r="M43" s="97"/>
      <c r="N43" s="97"/>
      <c r="O43" s="97"/>
    </row>
    <row r="44" spans="1:15" ht="20.25" x14ac:dyDescent="0.25">
      <c r="A44" s="117"/>
      <c r="B44" s="117"/>
      <c r="C44" s="119"/>
      <c r="D44" s="119"/>
      <c r="E44" s="97"/>
      <c r="F44" s="97"/>
      <c r="G44" s="97"/>
      <c r="H44" s="97"/>
      <c r="I44" s="97"/>
      <c r="J44" s="97"/>
      <c r="K44" s="97"/>
      <c r="L44" s="97"/>
      <c r="M44" s="97"/>
      <c r="N44" s="97"/>
      <c r="O44" s="97"/>
    </row>
    <row r="45" spans="1:15" ht="20.25" x14ac:dyDescent="0.25">
      <c r="A45" s="117"/>
      <c r="B45" s="117"/>
      <c r="C45" s="119"/>
      <c r="D45" s="119"/>
      <c r="E45" s="97"/>
      <c r="F45" s="97"/>
      <c r="G45" s="97"/>
      <c r="H45" s="97"/>
      <c r="I45" s="97"/>
      <c r="J45" s="97"/>
      <c r="K45" s="97"/>
      <c r="L45" s="97"/>
      <c r="M45" s="97"/>
      <c r="N45" s="97"/>
      <c r="O45" s="97"/>
    </row>
    <row r="46" spans="1:15" ht="20.25" x14ac:dyDescent="0.25">
      <c r="A46" s="117"/>
      <c r="B46" s="117"/>
      <c r="C46" s="119"/>
      <c r="D46" s="119"/>
      <c r="E46" s="97"/>
      <c r="F46" s="97"/>
      <c r="G46" s="97"/>
      <c r="H46" s="97"/>
      <c r="I46" s="97"/>
      <c r="J46" s="97"/>
      <c r="K46" s="97"/>
      <c r="L46" s="97"/>
      <c r="M46" s="97"/>
      <c r="N46" s="97"/>
      <c r="O46" s="97"/>
    </row>
    <row r="47" spans="1:15" ht="20.25" x14ac:dyDescent="0.25">
      <c r="A47" s="117"/>
      <c r="B47" s="117"/>
      <c r="C47" s="119"/>
      <c r="D47" s="119"/>
      <c r="E47" s="97"/>
      <c r="F47" s="97"/>
      <c r="G47" s="97"/>
      <c r="H47" s="97"/>
      <c r="I47" s="97"/>
      <c r="J47" s="97"/>
      <c r="K47" s="97"/>
      <c r="L47" s="97"/>
      <c r="M47" s="97"/>
      <c r="N47" s="97"/>
      <c r="O47" s="97"/>
    </row>
    <row r="48" spans="1:15" ht="20.25" x14ac:dyDescent="0.25">
      <c r="A48" s="117"/>
      <c r="B48" s="117"/>
      <c r="C48" s="119"/>
      <c r="D48" s="119"/>
      <c r="E48" s="97"/>
      <c r="F48" s="97"/>
      <c r="G48" s="97"/>
      <c r="H48" s="97"/>
      <c r="I48" s="97"/>
      <c r="J48" s="97"/>
      <c r="K48" s="97"/>
      <c r="L48" s="97"/>
      <c r="M48" s="97"/>
      <c r="N48" s="97"/>
      <c r="O48" s="97"/>
    </row>
    <row r="49" spans="1:15" ht="20.25" x14ac:dyDescent="0.25">
      <c r="A49" s="117"/>
      <c r="B49" s="117"/>
      <c r="C49" s="119"/>
      <c r="D49" s="119"/>
      <c r="E49" s="97"/>
      <c r="F49" s="97"/>
      <c r="G49" s="97"/>
      <c r="H49" s="97"/>
      <c r="I49" s="97"/>
      <c r="J49" s="97"/>
      <c r="K49" s="97"/>
      <c r="L49" s="97"/>
      <c r="M49" s="97"/>
      <c r="N49" s="97"/>
      <c r="O49" s="97"/>
    </row>
    <row r="50" spans="1:15" ht="20.25" x14ac:dyDescent="0.25">
      <c r="A50" s="117"/>
      <c r="B50" s="117"/>
      <c r="C50" s="119"/>
      <c r="D50" s="119"/>
      <c r="E50" s="97"/>
      <c r="F50" s="97"/>
      <c r="G50" s="97"/>
      <c r="H50" s="97"/>
      <c r="I50" s="97"/>
      <c r="J50" s="97"/>
      <c r="K50" s="97"/>
      <c r="L50" s="97"/>
      <c r="M50" s="97"/>
      <c r="N50" s="97"/>
      <c r="O50" s="97"/>
    </row>
    <row r="51" spans="1:15" ht="20.25" x14ac:dyDescent="0.25">
      <c r="A51" s="117"/>
      <c r="B51" s="117"/>
      <c r="C51" s="119"/>
      <c r="D51" s="119"/>
      <c r="E51" s="97"/>
      <c r="F51" s="97"/>
      <c r="G51" s="97"/>
      <c r="H51" s="97"/>
      <c r="I51" s="97"/>
      <c r="J51" s="97"/>
      <c r="K51" s="97"/>
      <c r="L51" s="97"/>
      <c r="M51" s="97"/>
      <c r="N51" s="97"/>
      <c r="O51" s="97"/>
    </row>
    <row r="52" spans="1:15" ht="20.25" x14ac:dyDescent="0.25">
      <c r="A52" s="117"/>
      <c r="B52" s="23"/>
      <c r="C52" s="36"/>
      <c r="D52" s="36"/>
    </row>
    <row r="53" spans="1:15" ht="20.25" x14ac:dyDescent="0.25">
      <c r="A53" s="117"/>
      <c r="B53" s="23"/>
      <c r="C53" s="36"/>
      <c r="D53" s="36"/>
    </row>
    <row r="54" spans="1:15" ht="20.25" x14ac:dyDescent="0.25">
      <c r="A54" s="117"/>
      <c r="B54" s="23"/>
      <c r="C54" s="36"/>
      <c r="D54" s="36"/>
    </row>
    <row r="55" spans="1:15" ht="20.25" x14ac:dyDescent="0.25">
      <c r="A55" s="117"/>
      <c r="B55" s="23"/>
      <c r="C55" s="36"/>
      <c r="D55" s="36"/>
    </row>
    <row r="56" spans="1:15" ht="20.25" x14ac:dyDescent="0.25">
      <c r="A56" s="117"/>
      <c r="B56" s="23"/>
      <c r="C56" s="36"/>
      <c r="D56" s="36"/>
    </row>
    <row r="57" spans="1:15" ht="20.25" x14ac:dyDescent="0.25">
      <c r="A57" s="117"/>
      <c r="B57" s="23"/>
      <c r="C57" s="36"/>
      <c r="D57" s="36"/>
    </row>
    <row r="58" spans="1:15" ht="20.25" x14ac:dyDescent="0.25">
      <c r="A58" s="117"/>
      <c r="B58" s="23"/>
      <c r="C58" s="36"/>
      <c r="D58" s="36"/>
    </row>
    <row r="59" spans="1:15" ht="20.25" x14ac:dyDescent="0.25">
      <c r="A59" s="117"/>
      <c r="B59" s="23"/>
      <c r="C59" s="36"/>
      <c r="D59" s="36"/>
    </row>
    <row r="60" spans="1:15" ht="20.25" x14ac:dyDescent="0.25">
      <c r="A60" s="117"/>
      <c r="B60" s="23"/>
      <c r="C60" s="36"/>
      <c r="D60" s="36"/>
    </row>
    <row r="61" spans="1:15" ht="20.25" x14ac:dyDescent="0.25">
      <c r="A61" s="117"/>
      <c r="B61" s="23"/>
      <c r="C61" s="36"/>
      <c r="D61" s="36"/>
    </row>
    <row r="62" spans="1:15" ht="20.25" x14ac:dyDescent="0.25">
      <c r="A62" s="117"/>
      <c r="B62" s="23"/>
      <c r="C62" s="36"/>
      <c r="D62" s="36"/>
    </row>
    <row r="63" spans="1:15" ht="20.25" x14ac:dyDescent="0.25">
      <c r="A63" s="117"/>
      <c r="B63" s="23"/>
      <c r="C63" s="36"/>
      <c r="D63" s="36"/>
    </row>
    <row r="64" spans="1:15" ht="20.25" x14ac:dyDescent="0.25">
      <c r="A64" s="117"/>
      <c r="B64" s="23"/>
      <c r="C64" s="36"/>
      <c r="D64" s="36"/>
    </row>
    <row r="65" spans="1:4" ht="20.25" x14ac:dyDescent="0.25">
      <c r="A65" s="117"/>
      <c r="B65" s="23"/>
      <c r="C65" s="36"/>
      <c r="D65" s="36"/>
    </row>
    <row r="66" spans="1:4" ht="20.25" x14ac:dyDescent="0.25">
      <c r="A66" s="117"/>
      <c r="B66" s="23"/>
      <c r="C66" s="36"/>
      <c r="D66" s="36"/>
    </row>
    <row r="67" spans="1:4" ht="20.25" x14ac:dyDescent="0.25">
      <c r="A67" s="117"/>
      <c r="B67" s="23"/>
      <c r="C67" s="36"/>
      <c r="D67" s="36"/>
    </row>
    <row r="68" spans="1:4" ht="20.25" x14ac:dyDescent="0.25">
      <c r="A68" s="117"/>
      <c r="B68" s="23"/>
      <c r="C68" s="36"/>
      <c r="D68" s="36"/>
    </row>
    <row r="69" spans="1:4" ht="20.25" x14ac:dyDescent="0.25">
      <c r="A69" s="117"/>
      <c r="B69" s="23"/>
      <c r="C69" s="36"/>
      <c r="D69" s="36"/>
    </row>
    <row r="70" spans="1:4" ht="20.25" x14ac:dyDescent="0.25">
      <c r="A70" s="117"/>
      <c r="B70" s="23"/>
      <c r="C70" s="36"/>
      <c r="D70" s="36"/>
    </row>
    <row r="71" spans="1:4" ht="20.25" x14ac:dyDescent="0.25">
      <c r="A71" s="117"/>
      <c r="B71" s="23"/>
      <c r="C71" s="36"/>
      <c r="D71" s="36"/>
    </row>
    <row r="72" spans="1:4" ht="20.25" x14ac:dyDescent="0.25">
      <c r="A72" s="117"/>
      <c r="B72" s="23"/>
      <c r="C72" s="36"/>
      <c r="D72" s="36"/>
    </row>
    <row r="73" spans="1:4" ht="20.25" x14ac:dyDescent="0.25">
      <c r="A73" s="117"/>
      <c r="B73" s="23"/>
      <c r="C73" s="36"/>
      <c r="D73" s="36"/>
    </row>
    <row r="74" spans="1:4" ht="20.25" x14ac:dyDescent="0.25">
      <c r="A74" s="117"/>
      <c r="B74" s="23"/>
      <c r="C74" s="36"/>
      <c r="D74" s="36"/>
    </row>
    <row r="75" spans="1:4" ht="20.25" x14ac:dyDescent="0.25">
      <c r="A75" s="117"/>
      <c r="B75" s="23"/>
      <c r="C75" s="36"/>
      <c r="D75" s="36"/>
    </row>
    <row r="76" spans="1:4" ht="20.25" x14ac:dyDescent="0.25">
      <c r="A76" s="117"/>
      <c r="B76" s="23"/>
      <c r="C76" s="36"/>
      <c r="D76" s="36"/>
    </row>
    <row r="77" spans="1:4" ht="20.25" x14ac:dyDescent="0.25">
      <c r="A77" s="117"/>
      <c r="B77" s="23"/>
      <c r="C77" s="36"/>
      <c r="D77" s="36"/>
    </row>
    <row r="78" spans="1:4" ht="20.25" x14ac:dyDescent="0.25">
      <c r="A78" s="117"/>
      <c r="B78" s="23"/>
      <c r="C78" s="36"/>
      <c r="D78" s="36"/>
    </row>
    <row r="79" spans="1:4" ht="20.25" x14ac:dyDescent="0.25">
      <c r="A79" s="117"/>
      <c r="B79" s="23"/>
      <c r="C79" s="36"/>
      <c r="D79" s="36"/>
    </row>
    <row r="80" spans="1:4" ht="20.25" x14ac:dyDescent="0.25">
      <c r="A80" s="117"/>
      <c r="B80" s="23"/>
      <c r="C80" s="36"/>
      <c r="D80" s="36"/>
    </row>
    <row r="81" spans="1:4" ht="20.25" x14ac:dyDescent="0.25">
      <c r="A81" s="117"/>
      <c r="B81" s="23"/>
      <c r="C81" s="36"/>
      <c r="D81" s="36"/>
    </row>
    <row r="82" spans="1:4" ht="20.25" x14ac:dyDescent="0.25">
      <c r="A82" s="117"/>
      <c r="B82" s="23"/>
      <c r="C82" s="36"/>
      <c r="D82" s="36"/>
    </row>
    <row r="83" spans="1:4" ht="20.25" x14ac:dyDescent="0.25">
      <c r="A83" s="117"/>
      <c r="B83" s="23"/>
      <c r="C83" s="36"/>
      <c r="D83" s="36"/>
    </row>
    <row r="84" spans="1:4" ht="20.25" x14ac:dyDescent="0.25">
      <c r="A84" s="117"/>
      <c r="B84" s="23"/>
      <c r="C84" s="36"/>
      <c r="D84" s="36"/>
    </row>
    <row r="85" spans="1:4" ht="20.25" x14ac:dyDescent="0.25">
      <c r="A85" s="117"/>
      <c r="B85" s="23"/>
      <c r="C85" s="36"/>
      <c r="D85" s="36"/>
    </row>
    <row r="86" spans="1:4" ht="20.25" x14ac:dyDescent="0.25">
      <c r="A86" s="117"/>
      <c r="B86" s="23"/>
      <c r="C86" s="36"/>
      <c r="D86" s="36"/>
    </row>
    <row r="87" spans="1:4" ht="20.25" x14ac:dyDescent="0.25">
      <c r="A87" s="117"/>
      <c r="B87" s="23"/>
      <c r="C87" s="36"/>
      <c r="D87" s="36"/>
    </row>
    <row r="88" spans="1:4" ht="20.25" x14ac:dyDescent="0.25">
      <c r="A88" s="117"/>
      <c r="B88" s="23"/>
      <c r="C88" s="36"/>
      <c r="D88" s="36"/>
    </row>
    <row r="89" spans="1:4" ht="20.25" x14ac:dyDescent="0.25">
      <c r="A89" s="117"/>
      <c r="B89" s="23"/>
      <c r="C89" s="36"/>
      <c r="D89" s="36"/>
    </row>
    <row r="90" spans="1:4" ht="20.25" x14ac:dyDescent="0.25">
      <c r="A90" s="117"/>
      <c r="B90" s="23"/>
      <c r="C90" s="36"/>
      <c r="D90" s="36"/>
    </row>
    <row r="91" spans="1:4" ht="20.25" x14ac:dyDescent="0.25">
      <c r="A91" s="117"/>
      <c r="B91" s="23"/>
      <c r="C91" s="36"/>
      <c r="D91" s="36"/>
    </row>
    <row r="92" spans="1:4" ht="20.25" x14ac:dyDescent="0.25">
      <c r="A92" s="117"/>
      <c r="B92" s="23"/>
      <c r="C92" s="36"/>
      <c r="D92" s="36"/>
    </row>
    <row r="93" spans="1:4" ht="20.25" x14ac:dyDescent="0.25">
      <c r="A93" s="117"/>
      <c r="B93" s="23"/>
      <c r="C93" s="36"/>
      <c r="D93" s="36"/>
    </row>
    <row r="94" spans="1:4" ht="20.25" x14ac:dyDescent="0.25">
      <c r="A94" s="117"/>
      <c r="B94" s="23"/>
      <c r="C94" s="36"/>
      <c r="D94" s="36"/>
    </row>
    <row r="95" spans="1:4" ht="20.25" x14ac:dyDescent="0.25">
      <c r="A95" s="117"/>
      <c r="B95" s="23"/>
      <c r="C95" s="36"/>
      <c r="D95" s="36"/>
    </row>
    <row r="96" spans="1:4" ht="20.25" x14ac:dyDescent="0.25">
      <c r="A96" s="117"/>
      <c r="B96" s="23"/>
      <c r="C96" s="36"/>
      <c r="D96" s="36"/>
    </row>
    <row r="97" spans="1:4" ht="20.25" x14ac:dyDescent="0.25">
      <c r="A97" s="117"/>
      <c r="B97" s="23"/>
      <c r="C97" s="36"/>
      <c r="D97" s="36"/>
    </row>
    <row r="98" spans="1:4" ht="20.25" x14ac:dyDescent="0.25">
      <c r="A98" s="117"/>
      <c r="B98" s="23"/>
      <c r="C98" s="36"/>
      <c r="D98" s="36"/>
    </row>
    <row r="99" spans="1:4" ht="20.25" x14ac:dyDescent="0.25">
      <c r="A99" s="117"/>
      <c r="B99" s="23"/>
      <c r="C99" s="36"/>
      <c r="D99" s="36"/>
    </row>
    <row r="100" spans="1:4" ht="20.25" x14ac:dyDescent="0.25">
      <c r="A100" s="117"/>
      <c r="B100" s="23"/>
      <c r="C100" s="36"/>
      <c r="D100" s="36"/>
    </row>
    <row r="101" spans="1:4" ht="20.25" x14ac:dyDescent="0.25">
      <c r="A101" s="117"/>
      <c r="B101" s="23"/>
      <c r="C101" s="36"/>
      <c r="D101" s="36"/>
    </row>
    <row r="102" spans="1:4" ht="20.25" x14ac:dyDescent="0.25">
      <c r="A102" s="117"/>
      <c r="B102" s="23"/>
      <c r="C102" s="36"/>
      <c r="D102" s="36"/>
    </row>
    <row r="103" spans="1:4" ht="20.25" x14ac:dyDescent="0.25">
      <c r="A103" s="117"/>
      <c r="B103" s="23"/>
      <c r="C103" s="36"/>
      <c r="D103" s="36"/>
    </row>
    <row r="104" spans="1:4" ht="20.25" x14ac:dyDescent="0.25">
      <c r="A104" s="117"/>
      <c r="B104" s="23"/>
      <c r="C104" s="36"/>
      <c r="D104" s="36"/>
    </row>
    <row r="105" spans="1:4" ht="20.25" x14ac:dyDescent="0.25">
      <c r="A105" s="117"/>
      <c r="B105" s="23"/>
      <c r="C105" s="36"/>
      <c r="D105" s="36"/>
    </row>
    <row r="106" spans="1:4" ht="20.25" x14ac:dyDescent="0.25">
      <c r="A106" s="117"/>
      <c r="B106" s="23"/>
      <c r="C106" s="36"/>
      <c r="D106" s="36"/>
    </row>
    <row r="107" spans="1:4" ht="20.25" x14ac:dyDescent="0.25">
      <c r="A107" s="117"/>
      <c r="B107" s="23"/>
      <c r="C107" s="36"/>
      <c r="D107" s="36"/>
    </row>
    <row r="108" spans="1:4" ht="20.25" x14ac:dyDescent="0.25">
      <c r="A108" s="117"/>
      <c r="B108" s="23"/>
      <c r="C108" s="36"/>
      <c r="D108" s="36"/>
    </row>
    <row r="109" spans="1:4" ht="20.25" x14ac:dyDescent="0.25">
      <c r="A109" s="117"/>
      <c r="B109" s="23"/>
      <c r="C109" s="36"/>
      <c r="D109" s="36"/>
    </row>
    <row r="110" spans="1:4" ht="20.25" x14ac:dyDescent="0.25">
      <c r="A110" s="117"/>
      <c r="B110" s="23"/>
      <c r="C110" s="36"/>
      <c r="D110" s="36"/>
    </row>
    <row r="111" spans="1:4" ht="20.25" x14ac:dyDescent="0.25">
      <c r="A111" s="117"/>
      <c r="B111" s="23"/>
      <c r="C111" s="36"/>
      <c r="D111" s="36"/>
    </row>
    <row r="112" spans="1:4" ht="20.25" x14ac:dyDescent="0.25">
      <c r="A112" s="117"/>
      <c r="B112" s="23"/>
      <c r="C112" s="36"/>
      <c r="D112" s="36"/>
    </row>
    <row r="113" spans="1:4" ht="20.25" x14ac:dyDescent="0.25">
      <c r="A113" s="117"/>
      <c r="B113" s="23"/>
      <c r="C113" s="36"/>
      <c r="D113" s="36"/>
    </row>
    <row r="114" spans="1:4" ht="20.25" x14ac:dyDescent="0.25">
      <c r="A114" s="117"/>
      <c r="B114" s="23"/>
      <c r="C114" s="36"/>
      <c r="D114" s="36"/>
    </row>
    <row r="115" spans="1:4" ht="20.25" x14ac:dyDescent="0.25">
      <c r="A115" s="117"/>
      <c r="B115" s="23"/>
      <c r="C115" s="36"/>
      <c r="D115" s="36"/>
    </row>
    <row r="116" spans="1:4" ht="20.25" x14ac:dyDescent="0.25">
      <c r="A116" s="117"/>
      <c r="B116" s="23"/>
      <c r="C116" s="36"/>
      <c r="D116" s="36"/>
    </row>
    <row r="117" spans="1:4" ht="20.25" x14ac:dyDescent="0.25">
      <c r="A117" s="117"/>
      <c r="B117" s="23"/>
      <c r="C117" s="36"/>
      <c r="D117" s="36"/>
    </row>
    <row r="118" spans="1:4" ht="20.25" x14ac:dyDescent="0.25">
      <c r="A118" s="117"/>
      <c r="B118" s="23"/>
      <c r="C118" s="36"/>
      <c r="D118" s="36"/>
    </row>
    <row r="119" spans="1:4" ht="20.25" x14ac:dyDescent="0.25">
      <c r="A119" s="117"/>
      <c r="B119" s="23"/>
      <c r="C119" s="36"/>
      <c r="D119" s="36"/>
    </row>
    <row r="120" spans="1:4" ht="20.25" x14ac:dyDescent="0.25">
      <c r="A120" s="117"/>
      <c r="B120" s="23"/>
      <c r="C120" s="36"/>
      <c r="D120" s="36"/>
    </row>
    <row r="121" spans="1:4" ht="20.25" x14ac:dyDescent="0.25">
      <c r="A121" s="117"/>
      <c r="B121" s="23"/>
      <c r="C121" s="36"/>
      <c r="D121" s="36"/>
    </row>
    <row r="122" spans="1:4" ht="20.25" x14ac:dyDescent="0.25">
      <c r="A122" s="117"/>
      <c r="B122" s="23"/>
      <c r="C122" s="36"/>
      <c r="D122" s="36"/>
    </row>
    <row r="123" spans="1:4" ht="20.25" x14ac:dyDescent="0.25">
      <c r="A123" s="117"/>
      <c r="B123" s="23"/>
      <c r="C123" s="36"/>
      <c r="D123" s="36"/>
    </row>
    <row r="124" spans="1:4" ht="20.25" x14ac:dyDescent="0.25">
      <c r="A124" s="117"/>
      <c r="B124" s="23"/>
      <c r="C124" s="36"/>
      <c r="D124" s="36"/>
    </row>
    <row r="125" spans="1:4" ht="20.25" x14ac:dyDescent="0.25">
      <c r="A125" s="117"/>
      <c r="B125" s="23"/>
      <c r="C125" s="36"/>
      <c r="D125" s="36"/>
    </row>
    <row r="126" spans="1:4" ht="20.25" x14ac:dyDescent="0.25">
      <c r="A126" s="117"/>
      <c r="B126" s="23"/>
      <c r="C126" s="36"/>
      <c r="D126" s="36"/>
    </row>
    <row r="127" spans="1:4" ht="20.25" x14ac:dyDescent="0.25">
      <c r="A127" s="117"/>
      <c r="B127" s="23"/>
      <c r="C127" s="36"/>
      <c r="D127" s="36"/>
    </row>
    <row r="128" spans="1:4" ht="20.25" x14ac:dyDescent="0.25">
      <c r="A128" s="117"/>
      <c r="B128" s="23"/>
      <c r="C128" s="36"/>
      <c r="D128" s="36"/>
    </row>
    <row r="129" spans="1:4" ht="20.25" x14ac:dyDescent="0.25">
      <c r="A129" s="117"/>
      <c r="B129" s="23"/>
      <c r="C129" s="36"/>
      <c r="D129" s="36"/>
    </row>
    <row r="130" spans="1:4" ht="20.25" x14ac:dyDescent="0.25">
      <c r="A130" s="117"/>
      <c r="B130" s="23"/>
      <c r="C130" s="36"/>
      <c r="D130" s="36"/>
    </row>
    <row r="131" spans="1:4" ht="20.25" x14ac:dyDescent="0.25">
      <c r="A131" s="117"/>
      <c r="B131" s="23"/>
      <c r="C131" s="36"/>
      <c r="D131" s="36"/>
    </row>
    <row r="132" spans="1:4" ht="20.25" x14ac:dyDescent="0.25">
      <c r="A132" s="117"/>
      <c r="B132" s="23"/>
      <c r="C132" s="36"/>
      <c r="D132" s="36"/>
    </row>
    <row r="133" spans="1:4" ht="20.25" x14ac:dyDescent="0.25">
      <c r="A133" s="117"/>
      <c r="B133" s="23"/>
      <c r="C133" s="36"/>
      <c r="D133" s="36"/>
    </row>
    <row r="134" spans="1:4" ht="20.25" x14ac:dyDescent="0.25">
      <c r="A134" s="117"/>
      <c r="B134" s="23"/>
      <c r="C134" s="36"/>
      <c r="D134" s="36"/>
    </row>
    <row r="135" spans="1:4" ht="20.25" x14ac:dyDescent="0.25">
      <c r="A135" s="117"/>
      <c r="B135" s="23"/>
      <c r="C135" s="36"/>
      <c r="D135" s="36"/>
    </row>
    <row r="136" spans="1:4" ht="20.25" x14ac:dyDescent="0.25">
      <c r="A136" s="117"/>
      <c r="B136" s="23"/>
      <c r="C136" s="36"/>
      <c r="D136" s="36"/>
    </row>
    <row r="137" spans="1:4" ht="20.25" x14ac:dyDescent="0.25">
      <c r="A137" s="117"/>
      <c r="B137" s="23"/>
      <c r="C137" s="36"/>
      <c r="D137" s="36"/>
    </row>
    <row r="138" spans="1:4" ht="20.25" x14ac:dyDescent="0.25">
      <c r="A138" s="117"/>
      <c r="B138" s="23"/>
      <c r="C138" s="36"/>
      <c r="D138" s="36"/>
    </row>
    <row r="139" spans="1:4" ht="20.25" x14ac:dyDescent="0.25">
      <c r="A139" s="117"/>
      <c r="B139" s="23"/>
      <c r="C139" s="36"/>
      <c r="D139" s="36"/>
    </row>
    <row r="140" spans="1:4" ht="20.25" x14ac:dyDescent="0.25">
      <c r="A140" s="117"/>
      <c r="B140" s="23"/>
      <c r="C140" s="36"/>
      <c r="D140" s="36"/>
    </row>
    <row r="141" spans="1:4" ht="20.25" x14ac:dyDescent="0.25">
      <c r="A141" s="117"/>
      <c r="B141" s="23"/>
      <c r="C141" s="36"/>
      <c r="D141" s="36"/>
    </row>
    <row r="142" spans="1:4" ht="20.25" x14ac:dyDescent="0.25">
      <c r="A142" s="117"/>
      <c r="B142" s="23"/>
      <c r="C142" s="36"/>
      <c r="D142" s="36"/>
    </row>
    <row r="143" spans="1:4" ht="20.25" x14ac:dyDescent="0.25">
      <c r="A143" s="117"/>
      <c r="B143" s="23"/>
      <c r="C143" s="36"/>
      <c r="D143" s="36"/>
    </row>
    <row r="144" spans="1:4" ht="20.25" x14ac:dyDescent="0.25">
      <c r="A144" s="117"/>
      <c r="B144" s="23"/>
      <c r="C144" s="36"/>
      <c r="D144" s="36"/>
    </row>
    <row r="145" spans="1:4" ht="20.25" x14ac:dyDescent="0.25">
      <c r="A145" s="117"/>
      <c r="B145" s="23"/>
      <c r="C145" s="36"/>
      <c r="D145" s="36"/>
    </row>
    <row r="146" spans="1:4" ht="20.25" x14ac:dyDescent="0.25">
      <c r="A146" s="117"/>
      <c r="B146" s="23"/>
      <c r="C146" s="36"/>
      <c r="D146" s="36"/>
    </row>
    <row r="147" spans="1:4" ht="20.25" x14ac:dyDescent="0.25">
      <c r="A147" s="117"/>
      <c r="B147" s="23"/>
      <c r="C147" s="36"/>
      <c r="D147" s="36"/>
    </row>
    <row r="148" spans="1:4" ht="20.25" x14ac:dyDescent="0.25">
      <c r="A148" s="117"/>
      <c r="B148" s="23"/>
      <c r="C148" s="36"/>
      <c r="D148" s="36"/>
    </row>
    <row r="149" spans="1:4" ht="20.25" x14ac:dyDescent="0.25">
      <c r="A149" s="117"/>
      <c r="B149" s="23"/>
      <c r="C149" s="36"/>
      <c r="D149" s="36"/>
    </row>
    <row r="150" spans="1:4" ht="20.25" x14ac:dyDescent="0.25">
      <c r="A150" s="117"/>
      <c r="B150" s="23"/>
      <c r="C150" s="36"/>
      <c r="D150" s="36"/>
    </row>
    <row r="151" spans="1:4" ht="20.25" x14ac:dyDescent="0.25">
      <c r="A151" s="117"/>
      <c r="B151" s="23"/>
      <c r="C151" s="36"/>
      <c r="D151" s="36"/>
    </row>
    <row r="152" spans="1:4" ht="20.25" x14ac:dyDescent="0.25">
      <c r="A152" s="117"/>
      <c r="B152" s="23"/>
      <c r="C152" s="36"/>
      <c r="D152" s="36"/>
    </row>
    <row r="153" spans="1:4" ht="20.25" x14ac:dyDescent="0.25">
      <c r="A153" s="117"/>
      <c r="B153" s="23"/>
      <c r="C153" s="36"/>
      <c r="D153" s="36"/>
    </row>
    <row r="154" spans="1:4" ht="20.25" x14ac:dyDescent="0.25">
      <c r="A154" s="117"/>
      <c r="B154" s="23"/>
      <c r="C154" s="36"/>
      <c r="D154" s="36"/>
    </row>
    <row r="155" spans="1:4" ht="20.25" x14ac:dyDescent="0.25">
      <c r="A155" s="117"/>
      <c r="B155" s="23"/>
      <c r="C155" s="36"/>
      <c r="D155" s="36"/>
    </row>
    <row r="156" spans="1:4" ht="20.25" x14ac:dyDescent="0.25">
      <c r="A156" s="117"/>
      <c r="B156" s="23"/>
      <c r="C156" s="36"/>
      <c r="D156" s="36"/>
    </row>
    <row r="157" spans="1:4" ht="20.25" x14ac:dyDescent="0.25">
      <c r="A157" s="117"/>
      <c r="B157" s="23"/>
      <c r="C157" s="36"/>
      <c r="D157" s="36"/>
    </row>
    <row r="158" spans="1:4" ht="20.25" x14ac:dyDescent="0.25">
      <c r="A158" s="117"/>
      <c r="B158" s="23"/>
      <c r="C158" s="36"/>
      <c r="D158" s="36"/>
    </row>
    <row r="159" spans="1:4" ht="20.25" x14ac:dyDescent="0.25">
      <c r="A159" s="117"/>
      <c r="B159" s="23"/>
      <c r="C159" s="36"/>
      <c r="D159" s="36"/>
    </row>
    <row r="160" spans="1:4" ht="20.25" x14ac:dyDescent="0.25">
      <c r="A160" s="117"/>
      <c r="B160" s="23"/>
      <c r="C160" s="36"/>
      <c r="D160" s="36"/>
    </row>
    <row r="161" spans="1:4" ht="20.25" x14ac:dyDescent="0.25">
      <c r="A161" s="117"/>
      <c r="B161" s="23"/>
      <c r="C161" s="36"/>
      <c r="D161" s="36"/>
    </row>
    <row r="162" spans="1:4" ht="20.25" x14ac:dyDescent="0.25">
      <c r="A162" s="117"/>
      <c r="B162" s="23"/>
      <c r="C162" s="36"/>
      <c r="D162" s="36"/>
    </row>
    <row r="163" spans="1:4" ht="20.25" x14ac:dyDescent="0.25">
      <c r="A163" s="117"/>
      <c r="B163" s="23"/>
      <c r="C163" s="36"/>
      <c r="D163" s="36"/>
    </row>
    <row r="164" spans="1:4" ht="20.25" x14ac:dyDescent="0.25">
      <c r="A164" s="117"/>
      <c r="B164" s="23"/>
      <c r="C164" s="36"/>
      <c r="D164" s="36"/>
    </row>
    <row r="165" spans="1:4" ht="20.25" x14ac:dyDescent="0.25">
      <c r="A165" s="117"/>
      <c r="B165" s="23"/>
      <c r="C165" s="36"/>
      <c r="D165" s="36"/>
    </row>
    <row r="166" spans="1:4" ht="20.25" x14ac:dyDescent="0.25">
      <c r="A166" s="117"/>
      <c r="B166" s="23"/>
      <c r="C166" s="36"/>
      <c r="D166" s="36"/>
    </row>
    <row r="167" spans="1:4" ht="20.25" x14ac:dyDescent="0.25">
      <c r="A167" s="117"/>
      <c r="B167" s="23"/>
      <c r="C167" s="36"/>
      <c r="D167" s="36"/>
    </row>
    <row r="168" spans="1:4" ht="20.25" x14ac:dyDescent="0.25">
      <c r="A168" s="117"/>
      <c r="B168" s="23"/>
      <c r="C168" s="36"/>
      <c r="D168" s="36"/>
    </row>
    <row r="169" spans="1:4" ht="20.25" x14ac:dyDescent="0.25">
      <c r="A169" s="117"/>
      <c r="B169" s="23"/>
      <c r="C169" s="36"/>
      <c r="D169" s="36"/>
    </row>
    <row r="170" spans="1:4" ht="20.25" x14ac:dyDescent="0.25">
      <c r="A170" s="117"/>
      <c r="B170" s="23"/>
      <c r="C170" s="36"/>
      <c r="D170" s="36"/>
    </row>
    <row r="171" spans="1:4" ht="20.25" x14ac:dyDescent="0.25">
      <c r="A171" s="117"/>
      <c r="B171" s="23"/>
      <c r="C171" s="36"/>
      <c r="D171" s="36"/>
    </row>
    <row r="172" spans="1:4" ht="20.25" x14ac:dyDescent="0.25">
      <c r="A172" s="117"/>
      <c r="B172" s="23"/>
      <c r="C172" s="36"/>
      <c r="D172" s="36"/>
    </row>
    <row r="173" spans="1:4" ht="20.25" x14ac:dyDescent="0.25">
      <c r="A173" s="117"/>
      <c r="B173" s="23"/>
      <c r="C173" s="36"/>
      <c r="D173" s="36"/>
    </row>
    <row r="174" spans="1:4" ht="20.25" x14ac:dyDescent="0.25">
      <c r="A174" s="117"/>
      <c r="B174" s="23"/>
      <c r="C174" s="36"/>
      <c r="D174" s="36"/>
    </row>
    <row r="175" spans="1:4" ht="20.25" x14ac:dyDescent="0.25">
      <c r="A175" s="117"/>
      <c r="B175" s="23"/>
      <c r="C175" s="36"/>
      <c r="D175" s="36"/>
    </row>
    <row r="176" spans="1:4" ht="20.25" x14ac:dyDescent="0.25">
      <c r="A176" s="117"/>
      <c r="B176" s="23"/>
      <c r="C176" s="36"/>
      <c r="D176" s="36"/>
    </row>
    <row r="177" spans="1:4" ht="20.25" x14ac:dyDescent="0.25">
      <c r="A177" s="117"/>
      <c r="B177" s="23"/>
      <c r="C177" s="36"/>
      <c r="D177" s="36"/>
    </row>
    <row r="178" spans="1:4" ht="20.25" x14ac:dyDescent="0.25">
      <c r="A178" s="117"/>
      <c r="B178" s="23"/>
      <c r="C178" s="36"/>
      <c r="D178" s="36"/>
    </row>
    <row r="179" spans="1:4" ht="20.25" x14ac:dyDescent="0.25">
      <c r="A179" s="117"/>
      <c r="B179" s="23"/>
      <c r="C179" s="36"/>
      <c r="D179" s="36"/>
    </row>
    <row r="180" spans="1:4" ht="20.25" x14ac:dyDescent="0.25">
      <c r="A180" s="117"/>
      <c r="B180" s="23"/>
      <c r="C180" s="36"/>
      <c r="D180" s="36"/>
    </row>
    <row r="181" spans="1:4" ht="20.25" x14ac:dyDescent="0.25">
      <c r="A181" s="117"/>
      <c r="B181" s="23"/>
      <c r="C181" s="36"/>
      <c r="D181" s="36"/>
    </row>
    <row r="182" spans="1:4" ht="20.25" x14ac:dyDescent="0.25">
      <c r="A182" s="117"/>
      <c r="B182" s="23"/>
      <c r="C182" s="36"/>
      <c r="D182" s="36"/>
    </row>
    <row r="183" spans="1:4" ht="20.25" x14ac:dyDescent="0.25">
      <c r="A183" s="117"/>
      <c r="B183" s="23"/>
      <c r="C183" s="36"/>
      <c r="D183" s="36"/>
    </row>
    <row r="184" spans="1:4" ht="20.25" x14ac:dyDescent="0.25">
      <c r="A184" s="117"/>
      <c r="B184" s="23"/>
      <c r="C184" s="36"/>
      <c r="D184" s="36"/>
    </row>
    <row r="185" spans="1:4" ht="20.25" x14ac:dyDescent="0.25">
      <c r="A185" s="117"/>
      <c r="B185" s="23"/>
      <c r="C185" s="36"/>
      <c r="D185" s="36"/>
    </row>
    <row r="186" spans="1:4" ht="20.25" x14ac:dyDescent="0.25">
      <c r="A186" s="117"/>
      <c r="B186" s="23"/>
      <c r="C186" s="36"/>
      <c r="D186" s="36"/>
    </row>
    <row r="187" spans="1:4" ht="20.25" x14ac:dyDescent="0.25">
      <c r="A187" s="117"/>
      <c r="B187" s="23"/>
      <c r="C187" s="36"/>
      <c r="D187" s="36"/>
    </row>
    <row r="188" spans="1:4" ht="20.25" x14ac:dyDescent="0.25">
      <c r="A188" s="117"/>
      <c r="B188" s="23"/>
      <c r="C188" s="36"/>
      <c r="D188" s="36"/>
    </row>
    <row r="189" spans="1:4" ht="20.25" x14ac:dyDescent="0.25">
      <c r="A189" s="117"/>
      <c r="B189" s="23"/>
      <c r="C189" s="36"/>
      <c r="D189" s="36"/>
    </row>
    <row r="190" spans="1:4" ht="20.25" x14ac:dyDescent="0.25">
      <c r="A190" s="117"/>
      <c r="B190" s="23"/>
      <c r="C190" s="36"/>
      <c r="D190" s="36"/>
    </row>
    <row r="191" spans="1:4" ht="20.25" x14ac:dyDescent="0.25">
      <c r="A191" s="117"/>
      <c r="B191" s="23"/>
      <c r="C191" s="36"/>
      <c r="D191" s="36"/>
    </row>
    <row r="192" spans="1:4" ht="20.25" x14ac:dyDescent="0.25">
      <c r="A192" s="117"/>
      <c r="B192" s="23"/>
      <c r="C192" s="36"/>
      <c r="D192" s="36"/>
    </row>
    <row r="193" spans="1:4" ht="20.25" x14ac:dyDescent="0.25">
      <c r="A193" s="117"/>
      <c r="B193" s="23"/>
      <c r="C193" s="36"/>
      <c r="D193" s="36"/>
    </row>
    <row r="194" spans="1:4" ht="20.25" x14ac:dyDescent="0.25">
      <c r="A194" s="117"/>
      <c r="B194" s="23"/>
      <c r="C194" s="36"/>
      <c r="D194" s="36"/>
    </row>
    <row r="195" spans="1:4" ht="20.25" x14ac:dyDescent="0.25">
      <c r="A195" s="117"/>
      <c r="B195" s="23"/>
      <c r="C195" s="36"/>
      <c r="D195" s="36"/>
    </row>
    <row r="196" spans="1:4" ht="20.25" x14ac:dyDescent="0.25">
      <c r="A196" s="117"/>
      <c r="B196" s="23"/>
      <c r="C196" s="36"/>
      <c r="D196" s="36"/>
    </row>
    <row r="197" spans="1:4" ht="20.25" x14ac:dyDescent="0.25">
      <c r="A197" s="117"/>
      <c r="B197" s="23"/>
      <c r="C197" s="36"/>
      <c r="D197" s="36"/>
    </row>
    <row r="198" spans="1:4" ht="20.25" x14ac:dyDescent="0.25">
      <c r="A198" s="117"/>
      <c r="B198" s="23"/>
      <c r="C198" s="36"/>
      <c r="D198" s="36"/>
    </row>
    <row r="199" spans="1:4" ht="20.25" x14ac:dyDescent="0.25">
      <c r="A199" s="117"/>
      <c r="B199" s="23"/>
      <c r="C199" s="36"/>
      <c r="D199" s="36"/>
    </row>
    <row r="200" spans="1:4" ht="20.25" x14ac:dyDescent="0.25">
      <c r="A200" s="117"/>
      <c r="B200" s="23"/>
      <c r="C200" s="36"/>
      <c r="D200" s="36"/>
    </row>
    <row r="201" spans="1:4" ht="20.25" x14ac:dyDescent="0.25">
      <c r="A201" s="117"/>
      <c r="B201" s="23"/>
      <c r="C201" s="36"/>
      <c r="D201" s="36"/>
    </row>
    <row r="202" spans="1:4" ht="20.25" x14ac:dyDescent="0.25">
      <c r="A202" s="117"/>
      <c r="B202" s="23"/>
      <c r="C202" s="36"/>
      <c r="D202" s="36"/>
    </row>
    <row r="203" spans="1:4" ht="20.25" x14ac:dyDescent="0.25">
      <c r="A203" s="117"/>
      <c r="B203" s="23"/>
      <c r="C203" s="36"/>
      <c r="D203" s="36"/>
    </row>
    <row r="204" spans="1:4" ht="20.25" x14ac:dyDescent="0.25">
      <c r="A204" s="117"/>
      <c r="B204" s="23"/>
      <c r="C204" s="36"/>
      <c r="D204" s="36"/>
    </row>
    <row r="205" spans="1:4" ht="20.25" x14ac:dyDescent="0.25">
      <c r="A205" s="117"/>
      <c r="B205" s="23"/>
      <c r="C205" s="36"/>
      <c r="D205" s="36"/>
    </row>
    <row r="206" spans="1:4" ht="20.25" x14ac:dyDescent="0.25">
      <c r="A206" s="117"/>
      <c r="B206" s="23"/>
      <c r="C206" s="36"/>
      <c r="D206" s="36"/>
    </row>
    <row r="207" spans="1:4" ht="20.25" x14ac:dyDescent="0.25">
      <c r="A207" s="117"/>
      <c r="B207" s="23"/>
      <c r="C207" s="36"/>
      <c r="D207" s="36"/>
    </row>
    <row r="208" spans="1:4" x14ac:dyDescent="0.25">
      <c r="A208" s="97"/>
      <c r="B208" s="23"/>
      <c r="C208" s="23"/>
      <c r="D208" s="23"/>
    </row>
    <row r="209" spans="1:8" ht="20.25" x14ac:dyDescent="0.25">
      <c r="A209" s="97"/>
      <c r="B209" s="32" t="s">
        <v>88</v>
      </c>
      <c r="C209" s="32" t="s">
        <v>145</v>
      </c>
      <c r="D209" s="35" t="s">
        <v>88</v>
      </c>
      <c r="E209" s="35" t="s">
        <v>145</v>
      </c>
    </row>
    <row r="210" spans="1:8" ht="21" x14ac:dyDescent="0.35">
      <c r="A210" s="97"/>
      <c r="B210" s="33" t="s">
        <v>90</v>
      </c>
      <c r="C210" s="33"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97"/>
      <c r="B211" s="33" t="s">
        <v>90</v>
      </c>
      <c r="C211" s="33" t="s">
        <v>93</v>
      </c>
      <c r="E211" t="s">
        <v>58</v>
      </c>
      <c r="F211" t="str">
        <f t="shared" ref="F211:F221" si="0">IF(NOT(ISBLANK(D211)),D211,IF(NOT(ISBLANK(E211)),"     "&amp;E211,FALSE))</f>
        <v xml:space="preserve">     Afectación menor a 10 SMLMV .</v>
      </c>
    </row>
    <row r="212" spans="1:8" ht="21" x14ac:dyDescent="0.35">
      <c r="A212" s="97"/>
      <c r="B212" s="33" t="s">
        <v>90</v>
      </c>
      <c r="C212" s="33" t="s">
        <v>94</v>
      </c>
      <c r="E212" t="s">
        <v>93</v>
      </c>
      <c r="F212" t="str">
        <f t="shared" si="0"/>
        <v xml:space="preserve">     Entre 10 y 50 SMLMV </v>
      </c>
    </row>
    <row r="213" spans="1:8" ht="21" x14ac:dyDescent="0.35">
      <c r="A213" s="97"/>
      <c r="B213" s="33" t="s">
        <v>90</v>
      </c>
      <c r="C213" s="33" t="s">
        <v>95</v>
      </c>
      <c r="E213" t="s">
        <v>94</v>
      </c>
      <c r="F213" t="str">
        <f t="shared" si="0"/>
        <v xml:space="preserve">     Entre 50 y 100 SMLMV </v>
      </c>
    </row>
    <row r="214" spans="1:8" ht="21" x14ac:dyDescent="0.35">
      <c r="A214" s="97"/>
      <c r="B214" s="33" t="s">
        <v>90</v>
      </c>
      <c r="C214" s="33" t="s">
        <v>96</v>
      </c>
      <c r="E214" t="s">
        <v>95</v>
      </c>
      <c r="F214" t="str">
        <f t="shared" si="0"/>
        <v xml:space="preserve">     Entre 100 y 500 SMLMV </v>
      </c>
    </row>
    <row r="215" spans="1:8" ht="21" x14ac:dyDescent="0.35">
      <c r="A215" s="97"/>
      <c r="B215" s="33" t="s">
        <v>57</v>
      </c>
      <c r="C215" s="33" t="s">
        <v>97</v>
      </c>
      <c r="E215" t="s">
        <v>96</v>
      </c>
      <c r="F215" t="str">
        <f t="shared" si="0"/>
        <v xml:space="preserve">     Mayor a 500 SMLMV </v>
      </c>
    </row>
    <row r="216" spans="1:8" ht="21" x14ac:dyDescent="0.35">
      <c r="A216" s="97"/>
      <c r="B216" s="33" t="s">
        <v>57</v>
      </c>
      <c r="C216" s="33" t="s">
        <v>98</v>
      </c>
      <c r="D216" t="s">
        <v>57</v>
      </c>
      <c r="F216" t="str">
        <f t="shared" si="0"/>
        <v>Pérdida Reputacional</v>
      </c>
    </row>
    <row r="217" spans="1:8" ht="21" x14ac:dyDescent="0.35">
      <c r="A217" s="97"/>
      <c r="B217" s="33" t="s">
        <v>57</v>
      </c>
      <c r="C217" s="33" t="s">
        <v>100</v>
      </c>
      <c r="E217" t="s">
        <v>97</v>
      </c>
      <c r="F217" t="str">
        <f t="shared" si="0"/>
        <v xml:space="preserve">     El riesgo afecta la imagen de alguna área de la organización</v>
      </c>
    </row>
    <row r="218" spans="1:8" ht="21" x14ac:dyDescent="0.35">
      <c r="A218" s="97"/>
      <c r="B218" s="33" t="s">
        <v>57</v>
      </c>
      <c r="C218" s="33" t="s">
        <v>99</v>
      </c>
      <c r="E218" t="s">
        <v>98</v>
      </c>
      <c r="F218" t="str">
        <f t="shared" si="0"/>
        <v xml:space="preserve">     El riesgo afecta la imagen de la entidad internamente, de conocimiento general, nivel interno, de junta dircetiva y accionistas y/o de provedores</v>
      </c>
    </row>
    <row r="219" spans="1:8" ht="21" x14ac:dyDescent="0.35">
      <c r="A219" s="97"/>
      <c r="B219" s="33" t="s">
        <v>57</v>
      </c>
      <c r="C219" s="33" t="s">
        <v>118</v>
      </c>
      <c r="E219" t="s">
        <v>100</v>
      </c>
      <c r="F219" t="str">
        <f t="shared" si="0"/>
        <v xml:space="preserve">     El riesgo afecta la imagen de la entidad con algunos usuarios de relevancia frente al logro de los objetivos</v>
      </c>
    </row>
    <row r="220" spans="1:8" x14ac:dyDescent="0.25">
      <c r="A220" s="97"/>
      <c r="B220" s="34"/>
      <c r="C220" s="34"/>
      <c r="E220" t="s">
        <v>99</v>
      </c>
      <c r="F220" t="str">
        <f t="shared" si="0"/>
        <v xml:space="preserve">     El riesgo afecta la imagen de de la entidad con efecto publicitario sostenido a nivel de sector administrativo, nivel departamental o municipal</v>
      </c>
    </row>
    <row r="221" spans="1:8" x14ac:dyDescent="0.25">
      <c r="A221" s="97"/>
      <c r="B221" s="34" t="str" cm="1">
        <f t="array" ref="B221:B223">_xlfn.UNIQUE(Tabla1[[#All],[Criterios]])</f>
        <v>Criterios</v>
      </c>
      <c r="C221" s="34"/>
      <c r="E221" t="s">
        <v>118</v>
      </c>
      <c r="F221" t="str">
        <f t="shared" si="0"/>
        <v xml:space="preserve">     El riesgo afecta la imagen de la entidad a nivel nacional, con efecto publicitarios sostenible a nivel país</v>
      </c>
    </row>
    <row r="222" spans="1:8" x14ac:dyDescent="0.25">
      <c r="A222" s="97"/>
      <c r="B222" s="34" t="str">
        <v>Afectación Económica o presupuestal</v>
      </c>
      <c r="C222" s="34"/>
    </row>
    <row r="223" spans="1:8" x14ac:dyDescent="0.25">
      <c r="B223" s="34" t="str">
        <v>Pérdida Reputacional</v>
      </c>
      <c r="C223" s="34"/>
      <c r="F223" s="37" t="s">
        <v>147</v>
      </c>
    </row>
    <row r="224" spans="1:8" x14ac:dyDescent="0.25">
      <c r="B224" s="22"/>
      <c r="C224" s="22"/>
      <c r="F224" s="37"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102"/>
    <col min="3" max="3" width="17" style="102" customWidth="1"/>
    <col min="4" max="4" width="14.28515625" style="102"/>
    <col min="5" max="5" width="46" style="102" customWidth="1"/>
    <col min="6" max="16384" width="14.28515625" style="102"/>
  </cols>
  <sheetData>
    <row r="1" spans="2:6" ht="24" customHeight="1" thickBot="1" x14ac:dyDescent="0.25">
      <c r="B1" s="383" t="s">
        <v>78</v>
      </c>
      <c r="C1" s="384"/>
      <c r="D1" s="384"/>
      <c r="E1" s="384"/>
      <c r="F1" s="385"/>
    </row>
    <row r="2" spans="2:6" ht="16.5" thickBot="1" x14ac:dyDescent="0.3">
      <c r="B2" s="103"/>
      <c r="C2" s="103"/>
      <c r="D2" s="103"/>
      <c r="E2" s="103"/>
      <c r="F2" s="103"/>
    </row>
    <row r="3" spans="2:6" ht="16.5" thickBot="1" x14ac:dyDescent="0.25">
      <c r="B3" s="387" t="s">
        <v>64</v>
      </c>
      <c r="C3" s="388"/>
      <c r="D3" s="388"/>
      <c r="E3" s="115" t="s">
        <v>65</v>
      </c>
      <c r="F3" s="116" t="s">
        <v>66</v>
      </c>
    </row>
    <row r="4" spans="2:6" ht="31.5" x14ac:dyDescent="0.2">
      <c r="B4" s="389" t="s">
        <v>67</v>
      </c>
      <c r="C4" s="391" t="s">
        <v>13</v>
      </c>
      <c r="D4" s="104" t="s">
        <v>14</v>
      </c>
      <c r="E4" s="105" t="s">
        <v>68</v>
      </c>
      <c r="F4" s="106">
        <v>0.25</v>
      </c>
    </row>
    <row r="5" spans="2:6" ht="47.25" x14ac:dyDescent="0.2">
      <c r="B5" s="390"/>
      <c r="C5" s="392"/>
      <c r="D5" s="107" t="s">
        <v>15</v>
      </c>
      <c r="E5" s="108" t="s">
        <v>69</v>
      </c>
      <c r="F5" s="109">
        <v>0.15</v>
      </c>
    </row>
    <row r="6" spans="2:6" ht="47.25" x14ac:dyDescent="0.2">
      <c r="B6" s="390"/>
      <c r="C6" s="392"/>
      <c r="D6" s="107" t="s">
        <v>16</v>
      </c>
      <c r="E6" s="108" t="s">
        <v>70</v>
      </c>
      <c r="F6" s="109">
        <v>0.1</v>
      </c>
    </row>
    <row r="7" spans="2:6" ht="63" x14ac:dyDescent="0.2">
      <c r="B7" s="390"/>
      <c r="C7" s="392" t="s">
        <v>17</v>
      </c>
      <c r="D7" s="107" t="s">
        <v>10</v>
      </c>
      <c r="E7" s="108" t="s">
        <v>71</v>
      </c>
      <c r="F7" s="109">
        <v>0.25</v>
      </c>
    </row>
    <row r="8" spans="2:6" ht="31.5" x14ac:dyDescent="0.2">
      <c r="B8" s="390"/>
      <c r="C8" s="392"/>
      <c r="D8" s="107" t="s">
        <v>9</v>
      </c>
      <c r="E8" s="108" t="s">
        <v>72</v>
      </c>
      <c r="F8" s="109">
        <v>0.15</v>
      </c>
    </row>
    <row r="9" spans="2:6" ht="47.25" x14ac:dyDescent="0.2">
      <c r="B9" s="390" t="s">
        <v>162</v>
      </c>
      <c r="C9" s="392" t="s">
        <v>18</v>
      </c>
      <c r="D9" s="107" t="s">
        <v>19</v>
      </c>
      <c r="E9" s="108" t="s">
        <v>73</v>
      </c>
      <c r="F9" s="110" t="s">
        <v>74</v>
      </c>
    </row>
    <row r="10" spans="2:6" ht="63" x14ac:dyDescent="0.2">
      <c r="B10" s="390"/>
      <c r="C10" s="392"/>
      <c r="D10" s="107" t="s">
        <v>20</v>
      </c>
      <c r="E10" s="108" t="s">
        <v>75</v>
      </c>
      <c r="F10" s="110" t="s">
        <v>74</v>
      </c>
    </row>
    <row r="11" spans="2:6" ht="47.25" x14ac:dyDescent="0.2">
      <c r="B11" s="390"/>
      <c r="C11" s="392" t="s">
        <v>21</v>
      </c>
      <c r="D11" s="107" t="s">
        <v>22</v>
      </c>
      <c r="E11" s="108" t="s">
        <v>76</v>
      </c>
      <c r="F11" s="110" t="s">
        <v>74</v>
      </c>
    </row>
    <row r="12" spans="2:6" ht="47.25" x14ac:dyDescent="0.2">
      <c r="B12" s="390"/>
      <c r="C12" s="392"/>
      <c r="D12" s="107" t="s">
        <v>23</v>
      </c>
      <c r="E12" s="108" t="s">
        <v>77</v>
      </c>
      <c r="F12" s="110" t="s">
        <v>74</v>
      </c>
    </row>
    <row r="13" spans="2:6" ht="31.5" x14ac:dyDescent="0.2">
      <c r="B13" s="390"/>
      <c r="C13" s="392" t="s">
        <v>24</v>
      </c>
      <c r="D13" s="107" t="s">
        <v>119</v>
      </c>
      <c r="E13" s="108" t="s">
        <v>122</v>
      </c>
      <c r="F13" s="110" t="s">
        <v>74</v>
      </c>
    </row>
    <row r="14" spans="2:6" ht="32.25" thickBot="1" x14ac:dyDescent="0.25">
      <c r="B14" s="393"/>
      <c r="C14" s="394"/>
      <c r="D14" s="111" t="s">
        <v>120</v>
      </c>
      <c r="E14" s="112" t="s">
        <v>121</v>
      </c>
      <c r="F14" s="113" t="s">
        <v>74</v>
      </c>
    </row>
    <row r="15" spans="2:6" ht="49.5" customHeight="1" x14ac:dyDescent="0.2">
      <c r="B15" s="386" t="s">
        <v>159</v>
      </c>
      <c r="C15" s="386"/>
      <c r="D15" s="386"/>
      <c r="E15" s="386"/>
      <c r="F15" s="386"/>
    </row>
    <row r="16" spans="2:6" ht="27" customHeight="1" x14ac:dyDescent="0.25">
      <c r="B16" s="11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Yesenia Zambrano</cp:lastModifiedBy>
  <cp:lastPrinted>2023-01-10T23:49:39Z</cp:lastPrinted>
  <dcterms:created xsi:type="dcterms:W3CDTF">2020-03-24T23:12:47Z</dcterms:created>
  <dcterms:modified xsi:type="dcterms:W3CDTF">2023-05-03T21:42:43Z</dcterms:modified>
</cp:coreProperties>
</file>